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5685" windowHeight="9030" tabRatio="673" activeTab="3"/>
  </bookViews>
  <sheets>
    <sheet name="Calculator" sheetId="1" r:id="rId1"/>
    <sheet name="Pass&amp;CardChoice" sheetId="2" r:id="rId2"/>
    <sheet name="Advantage Discounts" sheetId="3" r:id="rId3"/>
    <sheet name="Season Pass Discounts" sheetId="4" r:id="rId4"/>
    <sheet name="Rental type" sheetId="5" r:id="rId5"/>
    <sheet name="QuickCompare" sheetId="6" r:id="rId6"/>
    <sheet name="Ticket Prices" sheetId="7" r:id="rId7"/>
    <sheet name="Free tickets" sheetId="8" r:id="rId8"/>
    <sheet name="To Do List" sheetId="9" r:id="rId9"/>
    <sheet name="Author+version Info" sheetId="10" r:id="rId10"/>
  </sheets>
  <definedNames/>
  <calcPr fullCalcOnLoad="1"/>
</workbook>
</file>

<file path=xl/comments1.xml><?xml version="1.0" encoding="utf-8"?>
<comments xmlns="http://schemas.openxmlformats.org/spreadsheetml/2006/main">
  <authors>
    <author>russ.carr</author>
    <author>Rusty Carr</author>
  </authors>
  <commentList>
    <comment ref="G13" authorId="0">
      <text>
        <r>
          <rPr>
            <b/>
            <sz val="8"/>
            <rFont val="Tahoma"/>
            <family val="2"/>
          </rPr>
          <t>Advantage card holders earn one free ticket for every 5 paid visits</t>
        </r>
      </text>
    </comment>
    <comment ref="B55" authorId="1">
      <text>
        <r>
          <rPr>
            <b/>
            <sz val="8"/>
            <rFont val="Tahoma"/>
            <family val="0"/>
          </rPr>
          <t>Midweek nights only. Seniors pay full price on weekends</t>
        </r>
        <r>
          <rPr>
            <sz val="8"/>
            <rFont val="Tahoma"/>
            <family val="0"/>
          </rPr>
          <t xml:space="preserve">
</t>
        </r>
      </text>
    </comment>
    <comment ref="A195" authorId="1">
      <text>
        <r>
          <rPr>
            <b/>
            <sz val="8"/>
            <rFont val="Tahoma"/>
            <family val="0"/>
          </rPr>
          <t>Rusty Carr:</t>
        </r>
        <r>
          <rPr>
            <sz val="8"/>
            <rFont val="Tahoma"/>
            <family val="0"/>
          </rPr>
          <t xml:space="preserve">
2 extended day tickets for the price of 2 8 hour tickets in one purchase</t>
        </r>
      </text>
    </comment>
  </commentList>
</comments>
</file>

<file path=xl/comments2.xml><?xml version="1.0" encoding="utf-8"?>
<comments xmlns="http://schemas.openxmlformats.org/spreadsheetml/2006/main">
  <authors>
    <author>russ.carr</author>
    <author>Rusty Carr</author>
  </authors>
  <commentList>
    <comment ref="G9" authorId="0">
      <text>
        <r>
          <rPr>
            <sz val="8"/>
            <rFont val="Tahoma"/>
            <family val="0"/>
          </rPr>
          <t>Season Pass protection refunds your money in case of injury or job move</t>
        </r>
      </text>
    </comment>
    <comment ref="J9" authorId="0">
      <text>
        <r>
          <rPr>
            <sz val="8"/>
            <rFont val="Tahoma"/>
            <family val="0"/>
          </rPr>
          <t>The Liberty plus option allows you to store your skis at the mountain, daily bag storage for free and unlimited quick tunes</t>
        </r>
      </text>
    </comment>
    <comment ref="D16" authorId="0">
      <text>
        <r>
          <rPr>
            <b/>
            <sz val="8"/>
            <rFont val="Tahoma"/>
            <family val="2"/>
          </rPr>
          <t>It does not matter whether the second person is an adult or a child. This is the pass for the second person on a family pass.</t>
        </r>
      </text>
    </comment>
    <comment ref="D15" authorId="0">
      <text>
        <r>
          <rPr>
            <b/>
            <sz val="8"/>
            <rFont val="Tahoma"/>
            <family val="0"/>
          </rPr>
          <t>This pass is only good at Whitetail!</t>
        </r>
        <r>
          <rPr>
            <sz val="8"/>
            <rFont val="Tahoma"/>
            <family val="0"/>
          </rPr>
          <t xml:space="preserve">
</t>
        </r>
      </text>
    </comment>
    <comment ref="D14" authorId="0">
      <text>
        <r>
          <rPr>
            <b/>
            <sz val="8"/>
            <rFont val="Tahoma"/>
            <family val="0"/>
          </rPr>
          <t>This pass is only good at Roundtop!</t>
        </r>
        <r>
          <rPr>
            <sz val="8"/>
            <rFont val="Tahoma"/>
            <family val="0"/>
          </rPr>
          <t xml:space="preserve">
</t>
        </r>
      </text>
    </comment>
    <comment ref="D7" authorId="0">
      <text>
        <r>
          <rPr>
            <b/>
            <sz val="8"/>
            <rFont val="Tahoma"/>
            <family val="0"/>
          </rPr>
          <t>Companion cards are transferrable. Anyone visiting with a family card holder can get 40% off. Companion cards are only available with a family advantage card. Companion cards do not earn free visits.</t>
        </r>
      </text>
    </comment>
    <comment ref="D12" authorId="0">
      <text>
        <r>
          <rPr>
            <b/>
            <sz val="8"/>
            <rFont val="Tahoma"/>
            <family val="0"/>
          </rPr>
          <t xml:space="preserve">All age midweek passes are only good at Whitetail. </t>
        </r>
        <r>
          <rPr>
            <sz val="8"/>
            <rFont val="Tahoma"/>
            <family val="0"/>
          </rPr>
          <t xml:space="preserve">
</t>
        </r>
      </text>
    </comment>
    <comment ref="D13" authorId="0">
      <text>
        <r>
          <rPr>
            <b/>
            <sz val="8"/>
            <rFont val="Tahoma"/>
            <family val="0"/>
          </rPr>
          <t>Senior midweek pass for age 65 and over, good at all 3 resorts</t>
        </r>
      </text>
    </comment>
    <comment ref="G5" authorId="1">
      <text>
        <r>
          <rPr>
            <b/>
            <sz val="8"/>
            <rFont val="Tahoma"/>
            <family val="0"/>
          </rPr>
          <t>Go to the rental type page to select ski or board rental</t>
        </r>
      </text>
    </comment>
    <comment ref="G6" authorId="1">
      <text>
        <r>
          <rPr>
            <b/>
            <sz val="8"/>
            <rFont val="Tahoma"/>
            <family val="0"/>
          </rPr>
          <t>Go to the rental type page to select ski or board rental</t>
        </r>
      </text>
    </comment>
    <comment ref="J5" authorId="1">
      <text>
        <r>
          <rPr>
            <b/>
            <sz val="8"/>
            <rFont val="Tahoma"/>
            <family val="0"/>
          </rPr>
          <t>The Liberty plus option allows you to store your skis at the mountain, daily bag storage for free and unlimited quick tunes</t>
        </r>
      </text>
    </comment>
  </commentList>
</comments>
</file>

<file path=xl/comments4.xml><?xml version="1.0" encoding="utf-8"?>
<comments xmlns="http://schemas.openxmlformats.org/spreadsheetml/2006/main">
  <authors>
    <author>russ.carr</author>
    <author>Rusty Carr</author>
  </authors>
  <commentList>
    <comment ref="E2" authorId="0">
      <text>
        <r>
          <rPr>
            <b/>
            <sz val="8"/>
            <rFont val="Tahoma"/>
            <family val="0"/>
          </rPr>
          <t>russ.carr:</t>
        </r>
        <r>
          <rPr>
            <sz val="8"/>
            <rFont val="Tahoma"/>
            <family val="0"/>
          </rPr>
          <t xml:space="preserve">
Age for seniors varies by resort</t>
        </r>
      </text>
    </comment>
    <comment ref="H2" authorId="0">
      <text>
        <r>
          <rPr>
            <b/>
            <sz val="8"/>
            <rFont val="Tahoma"/>
            <family val="0"/>
          </rPr>
          <t>russ.carr:</t>
        </r>
        <r>
          <rPr>
            <sz val="8"/>
            <rFont val="Tahoma"/>
            <family val="0"/>
          </rPr>
          <t xml:space="preserve">
Some resorts may have two tiers of junior ticket pricing. The higher prices is used here.
</t>
        </r>
      </text>
    </comment>
    <comment ref="A5" authorId="0">
      <text>
        <r>
          <rPr>
            <b/>
            <sz val="8"/>
            <rFont val="Tahoma"/>
            <family val="0"/>
          </rPr>
          <t>resorts are hyperlinked to their lift ticket price web pages</t>
        </r>
        <r>
          <rPr>
            <sz val="8"/>
            <rFont val="Tahoma"/>
            <family val="0"/>
          </rPr>
          <t xml:space="preserve">
</t>
        </r>
      </text>
    </comment>
    <comment ref="B10" authorId="1">
      <text>
        <r>
          <rPr>
            <b/>
            <sz val="8"/>
            <rFont val="Tahoma"/>
            <family val="0"/>
          </rPr>
          <t>Holiday prices are $5 higher. Value and early season prices are lower in $5 steps.</t>
        </r>
      </text>
    </comment>
    <comment ref="H10" authorId="1">
      <text>
        <r>
          <rPr>
            <b/>
            <sz val="8"/>
            <rFont val="Tahoma"/>
            <family val="0"/>
          </rPr>
          <t>kids 9-12 =$25</t>
        </r>
      </text>
    </comment>
    <comment ref="H20" authorId="1">
      <text>
        <r>
          <rPr>
            <b/>
            <sz val="8"/>
            <rFont val="Tahoma"/>
            <family val="0"/>
          </rPr>
          <t>kids 7-12 =$47</t>
        </r>
      </text>
    </comment>
    <comment ref="H9" authorId="1">
      <text>
        <r>
          <rPr>
            <sz val="8"/>
            <rFont val="Tahoma"/>
            <family val="0"/>
          </rPr>
          <t xml:space="preserve">CB has a child rate for kids 7-12
</t>
        </r>
      </text>
    </comment>
    <comment ref="A15" authorId="1">
      <text>
        <r>
          <rPr>
            <b/>
            <sz val="8"/>
            <rFont val="Tahoma"/>
            <family val="0"/>
          </rPr>
          <t>Rusty Carr:</t>
        </r>
        <r>
          <rPr>
            <sz val="8"/>
            <rFont val="Tahoma"/>
            <family val="0"/>
          </rPr>
          <t xml:space="preserve">
Jay Peak pass holder discount may apply instead (adult=45, jr=35); senior may not get addtl discount</t>
        </r>
      </text>
    </comment>
    <comment ref="A14" authorId="1">
      <text>
        <r>
          <rPr>
            <b/>
            <sz val="8"/>
            <rFont val="Tahoma"/>
            <family val="0"/>
          </rPr>
          <t>Rusty Carr:</t>
        </r>
        <r>
          <rPr>
            <sz val="8"/>
            <rFont val="Tahoma"/>
            <family val="0"/>
          </rPr>
          <t xml:space="preserve">
Jay Peak pass holder discount may apply instead</t>
        </r>
      </text>
    </comment>
    <comment ref="A19" authorId="1">
      <text>
        <r>
          <rPr>
            <b/>
            <sz val="8"/>
            <rFont val="Tahoma"/>
            <family val="0"/>
          </rPr>
          <t>Rusty Carr:</t>
        </r>
        <r>
          <rPr>
            <sz val="8"/>
            <rFont val="Tahoma"/>
            <family val="0"/>
          </rPr>
          <t xml:space="preserve">
children 6-12 and seniors 70+ are cheaper</t>
        </r>
      </text>
    </comment>
    <comment ref="A20" authorId="1">
      <text>
        <r>
          <rPr>
            <b/>
            <sz val="8"/>
            <rFont val="Tahoma"/>
            <family val="0"/>
          </rPr>
          <t>Rusty Carr:</t>
        </r>
        <r>
          <rPr>
            <sz val="8"/>
            <rFont val="Tahoma"/>
            <family val="0"/>
          </rPr>
          <t xml:space="preserve">
7-12 and 70+ cheaper</t>
        </r>
      </text>
    </comment>
    <comment ref="B11" authorId="1">
      <text>
        <r>
          <rPr>
            <b/>
            <sz val="8"/>
            <rFont val="Tahoma"/>
            <family val="0"/>
          </rPr>
          <t>Holiday prices are $5 higher. Value and early season prices are lower in $5 steps.</t>
        </r>
      </text>
    </comment>
    <comment ref="H11" authorId="1">
      <text>
        <r>
          <rPr>
            <b/>
            <sz val="8"/>
            <rFont val="Tahoma"/>
            <family val="0"/>
          </rPr>
          <t>kids 9-12 =$25</t>
        </r>
      </text>
    </comment>
    <comment ref="F29" authorId="1">
      <text>
        <r>
          <rPr>
            <b/>
            <sz val="8"/>
            <rFont val="Tahoma"/>
            <family val="0"/>
          </rPr>
          <t>Rusty Carr:</t>
        </r>
        <r>
          <rPr>
            <sz val="8"/>
            <rFont val="Tahoma"/>
            <family val="0"/>
          </rPr>
          <t xml:space="preserve">
this is suspect</t>
        </r>
      </text>
    </comment>
    <comment ref="F25" authorId="1">
      <text>
        <r>
          <rPr>
            <b/>
            <sz val="8"/>
            <rFont val="Tahoma"/>
            <family val="0"/>
          </rPr>
          <t>Rusty Carr:</t>
        </r>
        <r>
          <rPr>
            <sz val="8"/>
            <rFont val="Tahoma"/>
            <family val="0"/>
          </rPr>
          <t xml:space="preserve">
this is suspect</t>
        </r>
      </text>
    </comment>
    <comment ref="F24" authorId="1">
      <text>
        <r>
          <rPr>
            <b/>
            <sz val="8"/>
            <rFont val="Tahoma"/>
            <family val="0"/>
          </rPr>
          <t>Rusty Carr:</t>
        </r>
        <r>
          <rPr>
            <sz val="8"/>
            <rFont val="Tahoma"/>
            <family val="0"/>
          </rPr>
          <t xml:space="preserve">
this is suspect</t>
        </r>
      </text>
    </comment>
    <comment ref="F15" authorId="1">
      <text>
        <r>
          <rPr>
            <b/>
            <sz val="8"/>
            <rFont val="Tahoma"/>
            <family val="0"/>
          </rPr>
          <t>Rusty Carr:</t>
        </r>
        <r>
          <rPr>
            <sz val="8"/>
            <rFont val="Tahoma"/>
            <family val="0"/>
          </rPr>
          <t xml:space="preserve">
this is suspect</t>
        </r>
      </text>
    </comment>
    <comment ref="F14" authorId="1">
      <text>
        <r>
          <rPr>
            <b/>
            <sz val="8"/>
            <rFont val="Tahoma"/>
            <family val="0"/>
          </rPr>
          <t>Rusty Carr:</t>
        </r>
        <r>
          <rPr>
            <sz val="8"/>
            <rFont val="Tahoma"/>
            <family val="0"/>
          </rPr>
          <t xml:space="preserve">
this is suspect</t>
        </r>
      </text>
    </comment>
    <comment ref="A57" authorId="1">
      <text>
        <r>
          <rPr>
            <b/>
            <sz val="8"/>
            <rFont val="Tahoma"/>
            <family val="0"/>
          </rPr>
          <t>Rusty Carr:</t>
        </r>
        <r>
          <rPr>
            <sz val="8"/>
            <rFont val="Tahoma"/>
            <family val="0"/>
          </rPr>
          <t xml:space="preserve">
Discount not available 12/26/08-1/4/09, 1/17-19/09, and 2/14-20/09 or during the US Open, March 16-22, 2009. Lodging is based on availability.</t>
        </r>
      </text>
    </comment>
    <comment ref="H33" authorId="1">
      <text>
        <r>
          <rPr>
            <b/>
            <sz val="8"/>
            <rFont val="Tahoma"/>
            <family val="0"/>
          </rPr>
          <t>Rusty Carr:</t>
        </r>
        <r>
          <rPr>
            <sz val="8"/>
            <rFont val="Tahoma"/>
            <family val="0"/>
          </rPr>
          <t xml:space="preserve">
junior 7-12 are less</t>
        </r>
      </text>
    </comment>
    <comment ref="A36" authorId="1">
      <text>
        <r>
          <rPr>
            <b/>
            <sz val="8"/>
            <rFont val="Tahoma"/>
            <family val="0"/>
          </rPr>
          <t>Rusty Carr:</t>
        </r>
        <r>
          <rPr>
            <sz val="8"/>
            <rFont val="Tahoma"/>
            <family val="0"/>
          </rPr>
          <t xml:space="preserve">
Whitetail price - other resorts slightly less</t>
        </r>
      </text>
    </comment>
    <comment ref="F22" authorId="1">
      <text>
        <r>
          <rPr>
            <b/>
            <sz val="8"/>
            <rFont val="Tahoma"/>
            <family val="0"/>
          </rPr>
          <t>Rusty Carr:</t>
        </r>
        <r>
          <rPr>
            <sz val="8"/>
            <rFont val="Tahoma"/>
            <family val="0"/>
          </rPr>
          <t xml:space="preserve">
Adults 80+ ski free (must obtain ticket). 
Adults 70-79 receive half price off the regular rate. </t>
        </r>
      </text>
    </comment>
    <comment ref="F23" authorId="1">
      <text>
        <r>
          <rPr>
            <b/>
            <sz val="8"/>
            <rFont val="Tahoma"/>
            <family val="0"/>
          </rPr>
          <t>Rusty Carr:</t>
        </r>
        <r>
          <rPr>
            <sz val="8"/>
            <rFont val="Tahoma"/>
            <family val="0"/>
          </rPr>
          <t xml:space="preserve">
Adults 80+ ski free (must obtain ticket). 
Adults 70-79 receive half price off the regular rate. </t>
        </r>
      </text>
    </comment>
    <comment ref="E7" authorId="1">
      <text>
        <r>
          <rPr>
            <b/>
            <sz val="8"/>
            <rFont val="Tahoma"/>
            <family val="0"/>
          </rPr>
          <t>Rusty Carr:</t>
        </r>
        <r>
          <rPr>
            <sz val="8"/>
            <rFont val="Tahoma"/>
            <family val="0"/>
          </rPr>
          <t xml:space="preserve">
65+</t>
        </r>
      </text>
    </comment>
    <comment ref="H7" authorId="1">
      <text>
        <r>
          <rPr>
            <b/>
            <sz val="8"/>
            <rFont val="Tahoma"/>
            <family val="0"/>
          </rPr>
          <t>Rusty Carr:</t>
        </r>
        <r>
          <rPr>
            <sz val="8"/>
            <rFont val="Tahoma"/>
            <family val="0"/>
          </rPr>
          <t xml:space="preserve">
8-12</t>
        </r>
      </text>
    </comment>
    <comment ref="E12" authorId="1">
      <text>
        <r>
          <rPr>
            <b/>
            <sz val="8"/>
            <rFont val="Tahoma"/>
            <family val="0"/>
          </rPr>
          <t>Rusty Carr:</t>
        </r>
        <r>
          <rPr>
            <sz val="8"/>
            <rFont val="Tahoma"/>
            <family val="0"/>
          </rPr>
          <t xml:space="preserve">
70+</t>
        </r>
      </text>
    </comment>
    <comment ref="H12" authorId="1">
      <text>
        <r>
          <rPr>
            <b/>
            <sz val="8"/>
            <rFont val="Tahoma"/>
            <family val="0"/>
          </rPr>
          <t>Rusty Carr:</t>
        </r>
        <r>
          <rPr>
            <sz val="8"/>
            <rFont val="Tahoma"/>
            <family val="0"/>
          </rPr>
          <t xml:space="preserve">
6-11</t>
        </r>
      </text>
    </comment>
    <comment ref="H14" authorId="1">
      <text>
        <r>
          <rPr>
            <b/>
            <sz val="8"/>
            <rFont val="Tahoma"/>
            <family val="0"/>
          </rPr>
          <t>Rusty Carr:</t>
        </r>
        <r>
          <rPr>
            <sz val="8"/>
            <rFont val="Tahoma"/>
            <family val="0"/>
          </rPr>
          <t xml:space="preserve">
6-18</t>
        </r>
      </text>
    </comment>
    <comment ref="E14" authorId="1">
      <text>
        <r>
          <rPr>
            <b/>
            <sz val="8"/>
            <rFont val="Tahoma"/>
            <family val="0"/>
          </rPr>
          <t>Rusty Carr:</t>
        </r>
        <r>
          <rPr>
            <sz val="8"/>
            <rFont val="Tahoma"/>
            <family val="0"/>
          </rPr>
          <t xml:space="preserve">
65+</t>
        </r>
      </text>
    </comment>
    <comment ref="E16" authorId="1">
      <text>
        <r>
          <rPr>
            <b/>
            <sz val="8"/>
            <rFont val="Tahoma"/>
            <family val="0"/>
          </rPr>
          <t>Rusty Carr:</t>
        </r>
        <r>
          <rPr>
            <sz val="8"/>
            <rFont val="Tahoma"/>
            <family val="0"/>
          </rPr>
          <t xml:space="preserve">
62+</t>
        </r>
      </text>
    </comment>
    <comment ref="H16" authorId="1">
      <text>
        <r>
          <rPr>
            <b/>
            <sz val="8"/>
            <rFont val="Tahoma"/>
            <family val="0"/>
          </rPr>
          <t>Rusty Carr:</t>
        </r>
        <r>
          <rPr>
            <sz val="8"/>
            <rFont val="Tahoma"/>
            <family val="0"/>
          </rPr>
          <t xml:space="preserve">
13-19
&lt;12 lower prices</t>
        </r>
      </text>
    </comment>
    <comment ref="B16" authorId="1">
      <text>
        <r>
          <rPr>
            <b/>
            <sz val="8"/>
            <rFont val="Tahoma"/>
            <family val="0"/>
          </rPr>
          <t>Rusty Carr:</t>
        </r>
        <r>
          <rPr>
            <sz val="8"/>
            <rFont val="Tahoma"/>
            <family val="0"/>
          </rPr>
          <t xml:space="preserve">
Holiday pricing is higher</t>
        </r>
      </text>
    </comment>
    <comment ref="A17" authorId="1">
      <text>
        <r>
          <rPr>
            <b/>
            <sz val="8"/>
            <rFont val="Tahoma"/>
            <family val="0"/>
          </rPr>
          <t>Rusty Carr:</t>
        </r>
        <r>
          <rPr>
            <sz val="8"/>
            <rFont val="Tahoma"/>
            <family val="0"/>
          </rPr>
          <t xml:space="preserve">
Holiday pricing is higher</t>
        </r>
      </text>
    </comment>
    <comment ref="A16" authorId="1">
      <text>
        <r>
          <rPr>
            <b/>
            <sz val="8"/>
            <rFont val="Tahoma"/>
            <family val="0"/>
          </rPr>
          <t>Rusty Carr:</t>
        </r>
        <r>
          <rPr>
            <sz val="8"/>
            <rFont val="Tahoma"/>
            <family val="0"/>
          </rPr>
          <t xml:space="preserve">
Holiday pricing is higher</t>
        </r>
      </text>
    </comment>
    <comment ref="H18" authorId="1">
      <text>
        <r>
          <rPr>
            <b/>
            <sz val="8"/>
            <rFont val="Tahoma"/>
            <family val="0"/>
          </rPr>
          <t>Rusty Carr:</t>
        </r>
        <r>
          <rPr>
            <sz val="8"/>
            <rFont val="Tahoma"/>
            <family val="0"/>
          </rPr>
          <t xml:space="preserve">
13-18
&lt;12 lower</t>
        </r>
      </text>
    </comment>
    <comment ref="E18" authorId="1">
      <text>
        <r>
          <rPr>
            <b/>
            <sz val="8"/>
            <rFont val="Tahoma"/>
            <family val="0"/>
          </rPr>
          <t>Rusty Carr:</t>
        </r>
        <r>
          <rPr>
            <sz val="8"/>
            <rFont val="Tahoma"/>
            <family val="0"/>
          </rPr>
          <t xml:space="preserve">
65-69
70+ lower</t>
        </r>
      </text>
    </comment>
    <comment ref="H23" authorId="1">
      <text>
        <r>
          <rPr>
            <b/>
            <sz val="8"/>
            <rFont val="Tahoma"/>
            <family val="0"/>
          </rPr>
          <t>Rusty Carr:</t>
        </r>
        <r>
          <rPr>
            <sz val="8"/>
            <rFont val="Tahoma"/>
            <family val="0"/>
          </rPr>
          <t xml:space="preserve">
6-11
</t>
        </r>
      </text>
    </comment>
    <comment ref="H24" authorId="1">
      <text>
        <r>
          <rPr>
            <b/>
            <sz val="8"/>
            <rFont val="Tahoma"/>
            <family val="0"/>
          </rPr>
          <t>Rusty Carr:</t>
        </r>
        <r>
          <rPr>
            <sz val="8"/>
            <rFont val="Tahoma"/>
            <family val="0"/>
          </rPr>
          <t xml:space="preserve">
21 and under</t>
        </r>
      </text>
    </comment>
    <comment ref="E24" authorId="1">
      <text>
        <r>
          <rPr>
            <b/>
            <sz val="8"/>
            <rFont val="Tahoma"/>
            <family val="0"/>
          </rPr>
          <t>Rusty Carr:</t>
        </r>
        <r>
          <rPr>
            <sz val="8"/>
            <rFont val="Tahoma"/>
            <family val="0"/>
          </rPr>
          <t xml:space="preserve">
60-69
70+ free</t>
        </r>
      </text>
    </comment>
    <comment ref="A27" authorId="1">
      <text>
        <r>
          <rPr>
            <b/>
            <sz val="8"/>
            <rFont val="Tahoma"/>
            <family val="0"/>
          </rPr>
          <t>Rusty Carr:</t>
        </r>
        <r>
          <rPr>
            <sz val="8"/>
            <rFont val="Tahoma"/>
            <family val="0"/>
          </rPr>
          <t xml:space="preserve">
holiday pricing is higher</t>
        </r>
      </text>
    </comment>
    <comment ref="F26" authorId="1">
      <text>
        <r>
          <rPr>
            <b/>
            <sz val="8"/>
            <rFont val="Tahoma"/>
            <family val="0"/>
          </rPr>
          <t>Rusty Carr:</t>
        </r>
        <r>
          <rPr>
            <sz val="8"/>
            <rFont val="Tahoma"/>
            <family val="0"/>
          </rPr>
          <t xml:space="preserve">
65+</t>
        </r>
      </text>
    </comment>
    <comment ref="H26" authorId="1">
      <text>
        <r>
          <rPr>
            <b/>
            <sz val="8"/>
            <rFont val="Tahoma"/>
            <family val="0"/>
          </rPr>
          <t>Rusty Carr:</t>
        </r>
        <r>
          <rPr>
            <sz val="8"/>
            <rFont val="Tahoma"/>
            <family val="0"/>
          </rPr>
          <t xml:space="preserve">
6-12</t>
        </r>
      </text>
    </comment>
    <comment ref="E28" authorId="1">
      <text>
        <r>
          <rPr>
            <b/>
            <sz val="8"/>
            <rFont val="Tahoma"/>
            <family val="0"/>
          </rPr>
          <t>Rusty Carr:</t>
        </r>
        <r>
          <rPr>
            <sz val="8"/>
            <rFont val="Tahoma"/>
            <family val="0"/>
          </rPr>
          <t xml:space="preserve">
65+</t>
        </r>
      </text>
    </comment>
    <comment ref="H28" authorId="1">
      <text>
        <r>
          <rPr>
            <b/>
            <sz val="8"/>
            <rFont val="Tahoma"/>
            <family val="0"/>
          </rPr>
          <t>Rusty Carr:</t>
        </r>
        <r>
          <rPr>
            <sz val="8"/>
            <rFont val="Tahoma"/>
            <family val="0"/>
          </rPr>
          <t xml:space="preserve">
7-12</t>
        </r>
      </text>
    </comment>
    <comment ref="A31" authorId="1">
      <text>
        <r>
          <rPr>
            <b/>
            <sz val="8"/>
            <rFont val="Tahoma"/>
            <family val="0"/>
          </rPr>
          <t>Rusty Carr:</t>
        </r>
        <r>
          <rPr>
            <sz val="8"/>
            <rFont val="Tahoma"/>
            <family val="0"/>
          </rPr>
          <t xml:space="preserve">
holiday prices are higher</t>
        </r>
      </text>
    </comment>
    <comment ref="A30" authorId="1">
      <text>
        <r>
          <rPr>
            <b/>
            <sz val="8"/>
            <rFont val="Tahoma"/>
            <family val="0"/>
          </rPr>
          <t>Rusty Carr:</t>
        </r>
        <r>
          <rPr>
            <sz val="8"/>
            <rFont val="Tahoma"/>
            <family val="0"/>
          </rPr>
          <t xml:space="preserve">
holiday prices are higher</t>
        </r>
      </text>
    </comment>
    <comment ref="E30" authorId="1">
      <text>
        <r>
          <rPr>
            <b/>
            <sz val="8"/>
            <rFont val="Tahoma"/>
            <family val="0"/>
          </rPr>
          <t>Rusty Carr:</t>
        </r>
        <r>
          <rPr>
            <sz val="8"/>
            <rFont val="Tahoma"/>
            <family val="0"/>
          </rPr>
          <t xml:space="preserve">
65+</t>
        </r>
      </text>
    </comment>
    <comment ref="H30" authorId="1">
      <text>
        <r>
          <rPr>
            <b/>
            <sz val="8"/>
            <rFont val="Tahoma"/>
            <family val="0"/>
          </rPr>
          <t>Rusty Carr:</t>
        </r>
        <r>
          <rPr>
            <sz val="8"/>
            <rFont val="Tahoma"/>
            <family val="0"/>
          </rPr>
          <t xml:space="preserve">
6-12</t>
        </r>
      </text>
    </comment>
    <comment ref="A41" authorId="1">
      <text>
        <r>
          <rPr>
            <b/>
            <sz val="8"/>
            <rFont val="Tahoma"/>
            <family val="0"/>
          </rPr>
          <t>Rusty Carr:</t>
        </r>
        <r>
          <rPr>
            <sz val="8"/>
            <rFont val="Tahoma"/>
            <family val="0"/>
          </rPr>
          <t xml:space="preserve">
Liberty prices
</t>
        </r>
      </text>
    </comment>
  </commentList>
</comments>
</file>

<file path=xl/sharedStrings.xml><?xml version="1.0" encoding="utf-8"?>
<sst xmlns="http://schemas.openxmlformats.org/spreadsheetml/2006/main" count="605" uniqueCount="278">
  <si>
    <t>Savings</t>
  </si>
  <si>
    <t>Adult</t>
  </si>
  <si>
    <t># of visits</t>
  </si>
  <si>
    <t>8 Hour Flex - Weekend</t>
  </si>
  <si>
    <t>4 hour flex - Weekend</t>
  </si>
  <si>
    <t>8 hour flex - weekday</t>
  </si>
  <si>
    <t>Advantage Card Price</t>
  </si>
  <si>
    <t xml:space="preserve">night </t>
  </si>
  <si>
    <t>4 hour flex - weekday</t>
  </si>
  <si>
    <t># of Free Tickets*</t>
  </si>
  <si>
    <t>Whitetail</t>
  </si>
  <si>
    <t>Extended Weekend Day</t>
  </si>
  <si>
    <t>Extended WeekDay</t>
  </si>
  <si>
    <t>Roundtop</t>
  </si>
  <si>
    <t># of lessons</t>
  </si>
  <si>
    <t>Your up front cost is</t>
  </si>
  <si>
    <t>lessons</t>
  </si>
  <si>
    <t>Your net savings are</t>
  </si>
  <si>
    <t>You save</t>
  </si>
  <si>
    <t>Step 1: Choose your Deal</t>
  </si>
  <si>
    <t>Whitetail Savings</t>
  </si>
  <si>
    <t>Liberty Savings</t>
  </si>
  <si>
    <t>Round Top Savings</t>
  </si>
  <si>
    <t>Advantage card rental price</t>
  </si>
  <si>
    <t>Lift Ticket Price</t>
  </si>
  <si>
    <t>Adult#1</t>
  </si>
  <si>
    <t>Adult#2</t>
  </si>
  <si>
    <t>Junior#1</t>
  </si>
  <si>
    <t>Junior#2</t>
  </si>
  <si>
    <t>Junior#3</t>
  </si>
  <si>
    <t>Lift and Rental Savings</t>
  </si>
  <si>
    <t>Beef up the instructions</t>
  </si>
  <si>
    <t>Ask for how many in the family and generate the right number of rows</t>
  </si>
  <si>
    <t>Ask for what types of tickets and generate the right number of rows</t>
  </si>
  <si>
    <t>pretty it up with graphics and colors; check print out</t>
  </si>
  <si>
    <t>add total costs comparison.(use sumproducts function- convert advantage price to "card" price with if logic to show price =0 for seasons pass)</t>
  </si>
  <si>
    <t>Earned</t>
  </si>
  <si>
    <t>Used</t>
  </si>
  <si>
    <t>Remaining</t>
  </si>
  <si>
    <t>Adult#3</t>
  </si>
  <si>
    <t>Adult#4</t>
  </si>
  <si>
    <t>convert to web page format? (easier said then done - need a control add in?); plain excel save as web page needs different look ups and everything all on one sheet</t>
  </si>
  <si>
    <t>make it easier to compare season pass versus vs  advantage card - just enter number of trips and type?</t>
  </si>
  <si>
    <t>Rental Price</t>
  </si>
  <si>
    <t>Rental Savings</t>
  </si>
  <si>
    <t># of paid visits</t>
  </si>
  <si>
    <t>Senior</t>
  </si>
  <si>
    <t>Extended Day-Weekend</t>
  </si>
  <si>
    <t>Your Price</t>
  </si>
  <si>
    <t>Regular Price</t>
  </si>
  <si>
    <t>Recommendation</t>
  </si>
  <si>
    <t>Buy an Advantage Card</t>
  </si>
  <si>
    <t>Buy an Advantage Card to save money or a Season Pass to not have to buy tickets</t>
  </si>
  <si>
    <t>Buy a Season Pass</t>
  </si>
  <si>
    <t>Family of 3</t>
  </si>
  <si>
    <t>Buy Season Passes for the family</t>
  </si>
  <si>
    <t>Total free tickets</t>
  </si>
  <si>
    <t>Error Check</t>
  </si>
  <si>
    <t>Choose no rental unless you are getting an Advantage card</t>
  </si>
  <si>
    <t>Seniors</t>
  </si>
  <si>
    <t>When to choose the rental option</t>
  </si>
  <si>
    <t>Savings per Ticket</t>
  </si>
  <si>
    <t>Total # of rentals</t>
  </si>
  <si>
    <t>upgrade forms buttons to activex buttons</t>
  </si>
  <si>
    <t>make discount default preseason based on calendar date</t>
  </si>
  <si>
    <t>convert errors to message boxes</t>
  </si>
  <si>
    <t>Total number of people renting</t>
  </si>
  <si>
    <t>Step 3: Choose when and where you will use your free tickets</t>
  </si>
  <si>
    <t>(page down)</t>
  </si>
  <si>
    <t>Calculator enhancement wish list - This worksheet is just for Rusty</t>
  </si>
  <si>
    <t>total</t>
  </si>
  <si>
    <t>This worksheet is used by the calculator. Please don't change anything on here!</t>
  </si>
  <si>
    <t>put comments in macros; use consistent naming structure; combine modules</t>
  </si>
  <si>
    <t>auto compare button enhance - for season pass to advantage card - single; message box for type of pass; family compare</t>
  </si>
  <si>
    <t>really esoteric stuff below here</t>
  </si>
  <si>
    <t>Total Paid Visits</t>
  </si>
  <si>
    <t>*Companion cards do not earn free visits</t>
  </si>
  <si>
    <t>This spreadsheet has macros that are used to make the buttons work. You must enable macros in order for the buttons to work</t>
  </si>
  <si>
    <t>auto hide columns based on pass and card choices; change reset buttons to unhide</t>
  </si>
  <si>
    <t xml:space="preserve">*Season and Family passes are good at all 3 resorts. Regular Midweek passes are only good at Whitetail. </t>
  </si>
  <si>
    <t>*Senior midweek pass for age 65 and over, good at all 3 resorts</t>
  </si>
  <si>
    <t>&lt;-Total</t>
  </si>
  <si>
    <t>Liberty Plus option</t>
  </si>
  <si>
    <t>Number of weekend days on snow</t>
  </si>
  <si>
    <t>Number of weekdays on snow</t>
  </si>
  <si>
    <t>sanity checks - ; more people than cards ; when one pass is selected don't allow different types of people (adult1 v adult2 v senior) to choose tickets</t>
  </si>
  <si>
    <t>night</t>
  </si>
  <si>
    <t>4 hour</t>
  </si>
  <si>
    <t>8 hour</t>
  </si>
  <si>
    <t>extended</t>
  </si>
  <si>
    <t>jr night</t>
  </si>
  <si>
    <t>jr 4 hr</t>
  </si>
  <si>
    <t>jr 8 hour</t>
  </si>
  <si>
    <t>jr extended</t>
  </si>
  <si>
    <t>helmet rental</t>
  </si>
  <si>
    <t>ski rental</t>
  </si>
  <si>
    <t>snowboard rental</t>
  </si>
  <si>
    <t>midweek</t>
  </si>
  <si>
    <t>weekend</t>
  </si>
  <si>
    <t>Liberty</t>
  </si>
  <si>
    <t>twin tips</t>
  </si>
  <si>
    <t>Mountains of Distinction discounts</t>
  </si>
  <si>
    <t>Whitetail locker discount</t>
  </si>
  <si>
    <t>Deal</t>
  </si>
  <si>
    <t>Discounted Price</t>
  </si>
  <si>
    <t>Number of Times</t>
  </si>
  <si>
    <t>-season long ski storage</t>
  </si>
  <si>
    <t>-daily bag storage</t>
  </si>
  <si>
    <t>-Liberty quick tunes</t>
  </si>
  <si>
    <t>-VIP parking</t>
  </si>
  <si>
    <t>-Wintergreen midweek</t>
  </si>
  <si>
    <t>-Bristol midweek</t>
  </si>
  <si>
    <t>-Wachusett midweek</t>
  </si>
  <si>
    <t>50% off midweek, $10 off weekend</t>
  </si>
  <si>
    <t>-Holiday Valley weekend</t>
  </si>
  <si>
    <t>-Holiday Valley midweek</t>
  </si>
  <si>
    <t>-Jay Peak midweek</t>
  </si>
  <si>
    <t>-Jiminy Peak weekend</t>
  </si>
  <si>
    <t>-Jiminy Peak midweek</t>
  </si>
  <si>
    <t>-Okemo midweek</t>
  </si>
  <si>
    <t>-Mount Sunapee midweek</t>
  </si>
  <si>
    <t>-Shawnee Peak midweek</t>
  </si>
  <si>
    <t>Junior</t>
  </si>
  <si>
    <t>Companion Adult</t>
  </si>
  <si>
    <t>Companion Junior</t>
  </si>
  <si>
    <t>add companion card instructions</t>
  </si>
  <si>
    <t>Advantage Card Selected?</t>
  </si>
  <si>
    <t>Season Pass Selected?</t>
  </si>
  <si>
    <t>plain season pass only works on first row/adult or child? Need edit check for second pass being used for both adult and child. Sanity check for senior and adult 1. Add 4th kid to calculator</t>
  </si>
  <si>
    <t>Age 4-5</t>
  </si>
  <si>
    <t>50% off class lessons (not privates or camps)</t>
  </si>
  <si>
    <t>Note: Based on early season pricing. Assumes that minimal savings is not worth the risk of up front spending</t>
  </si>
  <si>
    <t xml:space="preserve">When to choose companion card </t>
  </si>
  <si>
    <t>The rental option pays for itself after 3 weekend visits</t>
  </si>
  <si>
    <t>The companion card saves you money after 3 weekend visits</t>
  </si>
  <si>
    <t>same as a single above</t>
  </si>
  <si>
    <t>same as single above</t>
  </si>
  <si>
    <t>Senior(&gt;65)</t>
  </si>
  <si>
    <t>Step 2: Enter your number of visits in the first shaded column below</t>
  </si>
  <si>
    <t>Stratton Properties 10% discount</t>
  </si>
  <si>
    <t>One transferrable First Class Package (to give to a newbie)</t>
  </si>
  <si>
    <t>Liberty - First Tracks (ski 30 min b4 opening Thursday-Sunday)</t>
  </si>
  <si>
    <t>Miscellaneous Savings</t>
  </si>
  <si>
    <t>*Liberty plus option allows you to store your skis at the mountain, daily bag storage for free, and unlimited free quick tunes</t>
  </si>
  <si>
    <t>Windham midweek</t>
  </si>
  <si>
    <t>Recreational Racing</t>
  </si>
  <si>
    <t>Stratton</t>
  </si>
  <si>
    <t>questions - advantage discounts on multi day tickets count as multiple trips? yes, but reask. Quick tunes for season pass at all resorts now? yes Plus option still include vip parking? no; prices for twin tip rentals; what is the senior development program at roundtop?</t>
  </si>
  <si>
    <t>add a full disclaimer page</t>
  </si>
  <si>
    <t>advantage card  - every 6th rental is free? Double check</t>
  </si>
  <si>
    <t>click on direct purchase for pass should recalculate the prices; unclicking second person pass should drop all others</t>
  </si>
  <si>
    <t>Night Club Card Selected?</t>
  </si>
  <si>
    <t>senior night price is wrong for weekend nights - they must pay full price!? - add another row (night-midweek/night-weekend)</t>
  </si>
  <si>
    <t>2 day adult</t>
  </si>
  <si>
    <t>2 day jr</t>
  </si>
  <si>
    <t>3 day adult</t>
  </si>
  <si>
    <t>3 day jr</t>
  </si>
  <si>
    <t>2 day rental</t>
  </si>
  <si>
    <t>3 day rental</t>
  </si>
  <si>
    <t>This spreadsheet was created by Rusty Carr (Rusty@TheRusty.com) to assist Whitetail, Liberty and RoundTop skiers and riders to help discover the possible savings they can achieve by purchasing one of the available SnowTime discount cards. The spreadsheet is provided free of charge and without any copyright restrictions. If you find this spreadsheet to be of value, please send a note to skiwhitetail@skiwhitetail.com.</t>
  </si>
  <si>
    <t>2 runs</t>
  </si>
  <si>
    <t>extra runs</t>
  </si>
  <si>
    <t>unlimited</t>
  </si>
  <si>
    <t>season</t>
  </si>
  <si>
    <t>Whitetail additional locker discount</t>
  </si>
  <si>
    <t>First Class - midweek</t>
  </si>
  <si>
    <t>First Class - weekend</t>
  </si>
  <si>
    <t>First Class - night</t>
  </si>
  <si>
    <t>season pass discounts - sanity checks (only one free first class allowed)</t>
  </si>
  <si>
    <t>can night club holders with advantage option choose advantage for night skiing to get the 5th visit in?</t>
  </si>
  <si>
    <t>*Night passes are only good for one resort; Night Club cards are good at all 3 resorts but must be purchased as a group</t>
  </si>
  <si>
    <t xml:space="preserve">2 day weekend </t>
  </si>
  <si>
    <t>3 day weekend</t>
  </si>
  <si>
    <t>more gil questions - what's the price for 2 day weekend liberty rentals; liberty locker and quick tunes pricing? +bag storage</t>
  </si>
  <si>
    <t>std room</t>
  </si>
  <si>
    <t>stdf room</t>
  </si>
  <si>
    <t>luxury</t>
  </si>
  <si>
    <t>40% non-peak hotel at Liberty</t>
  </si>
  <si>
    <t>reg price</t>
  </si>
  <si>
    <t>discount price</t>
  </si>
  <si>
    <t>total savings</t>
  </si>
  <si>
    <t>Liberty Plus option!</t>
  </si>
  <si>
    <t>protect grey boxes on calculator sheet from being entered</t>
  </si>
  <si>
    <t>double check - plus option on advantage!; racing discounts for advantage; racing +hotel discounts for advantage but not season pass?</t>
  </si>
  <si>
    <t>add instructions for how to do 2 companion cards for both adults or both kids</t>
  </si>
  <si>
    <t>Grand total</t>
  </si>
  <si>
    <t>grand total</t>
  </si>
  <si>
    <t>Season Pass misc discounts</t>
  </si>
  <si>
    <t>Advantage misc discounts</t>
  </si>
  <si>
    <t>use global static for all magic numbers; label fields so that the calculations read easier</t>
  </si>
  <si>
    <t>Step 5: Buy your Advantage Card or Season Pass today!</t>
  </si>
  <si>
    <t>Step 4: Will you save money from other card discounts?</t>
  </si>
  <si>
    <t>Step 1 - Choose which discounts you will get, then choose which card you will buy.
Just click on the check boxes.</t>
  </si>
  <si>
    <t>Number purchased</t>
  </si>
  <si>
    <t># nights purchased</t>
  </si>
  <si>
    <t># purchased</t>
  </si>
  <si>
    <t>Step 4 - Enter a number in each of the yellow cells if you will take advantage of that discount.</t>
  </si>
  <si>
    <t>-Season long ski storage</t>
  </si>
  <si>
    <t>-Daily bag storage</t>
  </si>
  <si>
    <t>convert all old style buttons to new style buttons - make fonts consistent</t>
  </si>
  <si>
    <t>Click here to buy online</t>
  </si>
  <si>
    <t>Click here to find where and when you can get show discounts</t>
  </si>
  <si>
    <t>Version 1.1 notes</t>
  </si>
  <si>
    <t>Note: not all of the prices for all the miscellaneous stuff have been captured yet.</t>
  </si>
  <si>
    <t>This version fixes minor bugs and adds support for Night Club cards, multi day tickets and starts support for miscellaneous discounts for Advantage and Seasons Passes</t>
  </si>
  <si>
    <t>Prices for other resorts are not posted yet on their 2006 websites- mountains of distinction discounts and Stratton discounts</t>
  </si>
  <si>
    <t>Easy compare and auto compare have not been checked yet</t>
  </si>
  <si>
    <t>This beast is still a work in progress. It needs more instructions and control stuff needs to be protected/hidden</t>
  </si>
  <si>
    <t>Rental pricing for liberty 2 day tickets needs to be determined</t>
  </si>
  <si>
    <t>If you are getting an Advantage Card with the rental option, select what kind of rental for each card member.</t>
  </si>
  <si>
    <t>You can break this if you try hard enough</t>
  </si>
  <si>
    <t>change resets to reset to a specific column on each page too</t>
  </si>
  <si>
    <t>This is the master price list. You don't enter anything here.</t>
  </si>
  <si>
    <t>Quick Comparison page - This is for people looking for the big picture without entering all the details</t>
  </si>
  <si>
    <t>if unspent free tickets - put a message up next to the savings!</t>
  </si>
  <si>
    <t>0-6</t>
  </si>
  <si>
    <t>7+</t>
  </si>
  <si>
    <t>1-2</t>
  </si>
  <si>
    <t>1-4</t>
  </si>
  <si>
    <t>Buy a senior midweek pass</t>
  </si>
  <si>
    <t>Buy a midweek Season Pass (Whitetail only)</t>
  </si>
  <si>
    <t>Buy regular price tickets</t>
  </si>
  <si>
    <t>5-6</t>
  </si>
  <si>
    <t>Buy Regular price tickets</t>
  </si>
  <si>
    <t>Buy regular tickets</t>
  </si>
  <si>
    <t>Liberty Mountain Resort (click to go the Liberty web site)</t>
  </si>
  <si>
    <t>Whitetail (click to go the Whitetail web site)</t>
  </si>
  <si>
    <t>Roundtop (click to go the Roundtop web site)</t>
  </si>
  <si>
    <r>
      <t>Liberty, Roundtop and Whitetail Discount Pass Savings Calculator</t>
    </r>
    <r>
      <rPr>
        <b/>
        <sz val="12"/>
        <color indexed="9"/>
        <rFont val="Arial"/>
        <family val="2"/>
      </rPr>
      <t xml:space="preserve">
This spreadsheet calculates possible savings using an 
Advantage Card or Season Pass or Night Club Card 
</t>
    </r>
    <r>
      <rPr>
        <b/>
        <sz val="12"/>
        <color indexed="13"/>
        <rFont val="Arial"/>
        <family val="0"/>
      </rPr>
      <t>(legal disclaimer - this is not an official price list and 
the calculations are not guaranteed to be accurate)</t>
    </r>
  </si>
  <si>
    <t>2 day/3 day prices for whitetail</t>
  </si>
  <si>
    <t>2008 Qs</t>
  </si>
  <si>
    <t>fix family pass pricing - macros need updating</t>
  </si>
  <si>
    <t>10+</t>
  </si>
  <si>
    <t>Golf Pass savings</t>
  </si>
  <si>
    <t>-Crested Butte daily pass (flat 25% discount)</t>
  </si>
  <si>
    <t>-Wachusett weekend</t>
  </si>
  <si>
    <t>Windham weekend</t>
  </si>
  <si>
    <t>-Crystal weekend (2007/2008 rates)</t>
  </si>
  <si>
    <t>-Crystal weekday (2007/2008 rates)</t>
  </si>
  <si>
    <t>mountain of distinction questions - Jay Peak has passholder rate + low  senior rate; shawnee senior rate; windham</t>
  </si>
  <si>
    <t>Stratton Weekend ($20 lift tickets)</t>
  </si>
  <si>
    <t>Stratton Weekday</t>
  </si>
  <si>
    <t>Junior (13-17)</t>
  </si>
  <si>
    <t>holiday</t>
  </si>
  <si>
    <t>Junior (7-12) &amp;Sr 70+</t>
  </si>
  <si>
    <t>what is liberty hotel discount for season pass holders?</t>
  </si>
  <si>
    <t>6-10</t>
  </si>
  <si>
    <t>3-5</t>
  </si>
  <si>
    <t>tan=last season's prices</t>
  </si>
  <si>
    <t>-Bristol weekend (old rates)</t>
  </si>
  <si>
    <t>2009-2010 season</t>
  </si>
  <si>
    <t>note: prices in red were not available for 2009/10</t>
  </si>
  <si>
    <t>2009 Qs</t>
  </si>
  <si>
    <t>Seven Springs weekend</t>
  </si>
  <si>
    <t>Seven Springs midwek</t>
  </si>
  <si>
    <t>-Jay Peak weekend (2008/2009 rates</t>
  </si>
  <si>
    <t>-Mount Sunapee weekend (2008/2009 rates)</t>
  </si>
  <si>
    <t>-Okemo weekend (2008/2009 rates)</t>
  </si>
  <si>
    <t>-Shawnee Peak weekend (2008/2009 rates)</t>
  </si>
  <si>
    <t>-Wintergreen weekend (2008/2009 rates)</t>
  </si>
  <si>
    <t>7-9</t>
  </si>
  <si>
    <t>Adults - weekday only skiers</t>
  </si>
  <si>
    <t>Version 2.0 notes</t>
  </si>
  <si>
    <t>Updated for 2009/2010 season</t>
  </si>
  <si>
    <t>Golf pass logic removed</t>
  </si>
  <si>
    <t>Version 2.0</t>
  </si>
  <si>
    <t>1-16</t>
  </si>
  <si>
    <t>17+</t>
  </si>
  <si>
    <t>Single Person</t>
  </si>
  <si>
    <t>2 day ticket and rental options? Check prices if still offered</t>
  </si>
  <si>
    <t>do a quick compare for night club options</t>
  </si>
  <si>
    <t>passncard sanity checks - plusoption checks like night club advantage option check</t>
  </si>
  <si>
    <t>Liberty Hotel discounts (%40 midweek)</t>
  </si>
  <si>
    <t>one quick tune-ski</t>
  </si>
  <si>
    <t>one quick tune - board</t>
  </si>
  <si>
    <t>priceless</t>
  </si>
  <si>
    <t>-Liberty quick tunes - ski</t>
  </si>
  <si>
    <t>-Liberty quick tunes - board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</si>
</sst>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9">
    <font>
      <sz val="10"/>
      <name val="Arial"/>
      <family val="0"/>
    </font>
    <font>
      <sz val="10"/>
      <color indexed="13"/>
      <name val="Arial"/>
      <family val="2"/>
    </font>
    <font>
      <b/>
      <sz val="10"/>
      <color indexed="9"/>
      <name val="Arial"/>
      <family val="2"/>
    </font>
    <font>
      <sz val="8"/>
      <name val="Tahoma"/>
      <family val="2"/>
    </font>
    <font>
      <b/>
      <sz val="12"/>
      <name val="Arial"/>
      <family val="2"/>
    </font>
    <font>
      <b/>
      <sz val="8"/>
      <name val="Tahoma"/>
      <family val="0"/>
    </font>
    <font>
      <sz val="10"/>
      <color indexed="9"/>
      <name val="Arial"/>
      <family val="0"/>
    </font>
    <font>
      <b/>
      <sz val="12"/>
      <color indexed="9"/>
      <name val="Arial"/>
      <family val="2"/>
    </font>
    <font>
      <sz val="10"/>
      <color indexed="10"/>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2"/>
      <color indexed="13"/>
      <name val="Arial"/>
      <family val="0"/>
    </font>
    <font>
      <b/>
      <sz val="14"/>
      <color indexed="8"/>
      <name val="Arial"/>
      <family val="0"/>
    </font>
    <font>
      <sz val="14"/>
      <color indexed="9"/>
      <name val="Arial"/>
      <family val="0"/>
    </font>
    <font>
      <sz val="14"/>
      <name val="Arial"/>
      <family val="0"/>
    </font>
    <font>
      <sz val="12"/>
      <name val="Arial"/>
      <family val="2"/>
    </font>
    <font>
      <b/>
      <sz val="8"/>
      <name val="Arial"/>
      <family val="2"/>
    </font>
  </fonts>
  <fills count="13">
    <fill>
      <patternFill/>
    </fill>
    <fill>
      <patternFill patternType="gray125"/>
    </fill>
    <fill>
      <patternFill patternType="solid">
        <fgColor indexed="2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3">
    <border>
      <left/>
      <right/>
      <top/>
      <bottom/>
      <diagonal/>
    </border>
    <border>
      <left>
        <color indexed="63"/>
      </left>
      <right>
        <color indexed="63"/>
      </right>
      <top style="thin"/>
      <bottom>
        <color indexed="63"/>
      </bottom>
    </border>
    <border>
      <left style="thick"/>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wrapText="1"/>
    </xf>
    <xf numFmtId="0" fontId="0" fillId="2" borderId="0" xfId="0" applyFill="1" applyAlignment="1">
      <alignment/>
    </xf>
    <xf numFmtId="0" fontId="2" fillId="2" borderId="0" xfId="0" applyFont="1" applyFill="1" applyAlignment="1">
      <alignment/>
    </xf>
    <xf numFmtId="164" fontId="0" fillId="0" borderId="0" xfId="0" applyNumberFormat="1" applyAlignment="1">
      <alignment/>
    </xf>
    <xf numFmtId="164" fontId="0" fillId="0" borderId="0" xfId="0" applyNumberFormat="1" applyAlignment="1">
      <alignment wrapText="1"/>
    </xf>
    <xf numFmtId="164" fontId="0" fillId="0" borderId="0" xfId="0" applyNumberFormat="1" applyBorder="1" applyAlignment="1">
      <alignment/>
    </xf>
    <xf numFmtId="164" fontId="0" fillId="0" borderId="1" xfId="0" applyNumberFormat="1" applyFill="1" applyBorder="1" applyAlignment="1">
      <alignment/>
    </xf>
    <xf numFmtId="0" fontId="4" fillId="0" borderId="0" xfId="0" applyFont="1" applyAlignment="1">
      <alignment wrapText="1"/>
    </xf>
    <xf numFmtId="0" fontId="0" fillId="3" borderId="0" xfId="0" applyFill="1" applyAlignment="1">
      <alignment wrapText="1"/>
    </xf>
    <xf numFmtId="0" fontId="0" fillId="0" borderId="0" xfId="0" applyFont="1" applyAlignment="1">
      <alignment wrapText="1"/>
    </xf>
    <xf numFmtId="0" fontId="0" fillId="0" borderId="0" xfId="0" applyAlignment="1">
      <alignment/>
    </xf>
    <xf numFmtId="9" fontId="0" fillId="0" borderId="0" xfId="0" applyNumberFormat="1" applyAlignment="1">
      <alignment/>
    </xf>
    <xf numFmtId="16" fontId="0" fillId="0" borderId="0" xfId="0" applyNumberFormat="1" applyAlignment="1" quotePrefix="1">
      <alignment/>
    </xf>
    <xf numFmtId="165" fontId="0" fillId="0" borderId="0" xfId="0" applyNumberFormat="1" applyAlignment="1">
      <alignment/>
    </xf>
    <xf numFmtId="0" fontId="0" fillId="4" borderId="0" xfId="0" applyFill="1" applyAlignment="1">
      <alignment/>
    </xf>
    <xf numFmtId="0" fontId="0" fillId="4" borderId="0" xfId="0" applyFont="1" applyFill="1" applyAlignment="1">
      <alignment/>
    </xf>
    <xf numFmtId="0" fontId="0" fillId="5" borderId="0" xfId="0" applyFill="1" applyAlignment="1">
      <alignment/>
    </xf>
    <xf numFmtId="0" fontId="0" fillId="0" borderId="0" xfId="0" applyFont="1" applyFill="1" applyAlignment="1">
      <alignment/>
    </xf>
    <xf numFmtId="0" fontId="6" fillId="0" borderId="0" xfId="0" applyFont="1" applyAlignment="1">
      <alignment/>
    </xf>
    <xf numFmtId="0" fontId="0" fillId="0" borderId="0" xfId="0" applyFont="1" applyAlignment="1">
      <alignment/>
    </xf>
    <xf numFmtId="1" fontId="0" fillId="0" borderId="0" xfId="0" applyNumberFormat="1" applyAlignment="1">
      <alignment/>
    </xf>
    <xf numFmtId="0" fontId="6" fillId="2" borderId="0" xfId="0" applyFont="1" applyFill="1" applyAlignment="1">
      <alignment/>
    </xf>
    <xf numFmtId="0" fontId="7" fillId="6" borderId="2" xfId="0" applyFont="1" applyFill="1" applyBorder="1" applyAlignment="1">
      <alignment wrapText="1"/>
    </xf>
    <xf numFmtId="164" fontId="8" fillId="0" borderId="0" xfId="0" applyNumberFormat="1" applyFont="1" applyAlignment="1">
      <alignment/>
    </xf>
    <xf numFmtId="0" fontId="8" fillId="0" borderId="0" xfId="0" applyFont="1" applyAlignment="1">
      <alignment/>
    </xf>
    <xf numFmtId="0" fontId="0" fillId="7" borderId="0" xfId="0" applyFill="1" applyAlignment="1">
      <alignment/>
    </xf>
    <xf numFmtId="7" fontId="0" fillId="0" borderId="0" xfId="0" applyNumberFormat="1" applyAlignment="1">
      <alignment wrapText="1"/>
    </xf>
    <xf numFmtId="0" fontId="0" fillId="7" borderId="0" xfId="0" applyFont="1" applyFill="1" applyAlignment="1">
      <alignment wrapText="1"/>
    </xf>
    <xf numFmtId="164" fontId="6" fillId="0" borderId="0" xfId="0" applyNumberFormat="1" applyFont="1" applyAlignment="1">
      <alignment/>
    </xf>
    <xf numFmtId="0" fontId="0" fillId="0" borderId="0" xfId="0" applyNumberFormat="1" applyFont="1" applyAlignment="1">
      <alignment/>
    </xf>
    <xf numFmtId="0" fontId="0" fillId="8" borderId="0" xfId="0" applyFill="1" applyAlignment="1">
      <alignment wrapText="1"/>
    </xf>
    <xf numFmtId="0" fontId="10" fillId="8" borderId="0" xfId="0" applyFont="1" applyFill="1" applyAlignment="1">
      <alignment wrapText="1"/>
    </xf>
    <xf numFmtId="0" fontId="0" fillId="0" borderId="0" xfId="0" applyAlignment="1" quotePrefix="1">
      <alignment/>
    </xf>
    <xf numFmtId="0" fontId="0" fillId="0" borderId="0" xfId="0" applyNumberFormat="1" applyAlignment="1">
      <alignment/>
    </xf>
    <xf numFmtId="0" fontId="10" fillId="8" borderId="0" xfId="0" applyNumberFormat="1" applyFont="1" applyFill="1" applyAlignment="1">
      <alignment wrapText="1"/>
    </xf>
    <xf numFmtId="0" fontId="0" fillId="0" borderId="0" xfId="0" applyFont="1" applyAlignment="1">
      <alignment/>
    </xf>
    <xf numFmtId="0" fontId="0" fillId="0" borderId="0" xfId="0" applyFont="1" applyAlignment="1">
      <alignment wrapText="1"/>
    </xf>
    <xf numFmtId="0" fontId="6" fillId="2" borderId="0" xfId="0" applyFont="1" applyFill="1" applyAlignment="1">
      <alignment horizontal="centerContinuous"/>
    </xf>
    <xf numFmtId="164" fontId="6" fillId="2" borderId="0" xfId="0" applyNumberFormat="1" applyFont="1" applyFill="1" applyAlignment="1">
      <alignment horizontal="centerContinuous"/>
    </xf>
    <xf numFmtId="0" fontId="6" fillId="2" borderId="0" xfId="0" applyFont="1" applyFill="1" applyAlignment="1">
      <alignment horizontal="centerContinuous" wrapText="1"/>
    </xf>
    <xf numFmtId="0" fontId="11" fillId="0" borderId="0" xfId="20" applyAlignment="1">
      <alignment/>
    </xf>
    <xf numFmtId="0" fontId="11" fillId="0" borderId="0" xfId="20" applyFill="1" applyAlignment="1" quotePrefix="1">
      <alignment/>
    </xf>
    <xf numFmtId="0" fontId="0" fillId="0" borderId="0" xfId="0" applyFill="1" applyAlignment="1" quotePrefix="1">
      <alignment/>
    </xf>
    <xf numFmtId="0" fontId="0" fillId="0" borderId="0" xfId="0" applyFill="1" applyAlignment="1">
      <alignment/>
    </xf>
    <xf numFmtId="0" fontId="0" fillId="0" borderId="0" xfId="0" applyNumberFormat="1" applyFill="1" applyAlignment="1">
      <alignment/>
    </xf>
    <xf numFmtId="0" fontId="14" fillId="2" borderId="0" xfId="0" applyFont="1" applyFill="1" applyAlignment="1">
      <alignment horizontal="centerContinuous" wrapText="1"/>
    </xf>
    <xf numFmtId="0" fontId="0" fillId="0" borderId="0" xfId="0" applyFill="1" applyAlignment="1">
      <alignment wrapText="1"/>
    </xf>
    <xf numFmtId="6" fontId="0" fillId="0" borderId="0" xfId="0" applyNumberFormat="1" applyAlignment="1">
      <alignment/>
    </xf>
    <xf numFmtId="0" fontId="0" fillId="0" borderId="0" xfId="0" applyFont="1" applyFill="1" applyAlignment="1">
      <alignment wrapText="1"/>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0" borderId="0" xfId="0" applyNumberFormat="1" applyFill="1" applyAlignment="1">
      <alignment/>
    </xf>
    <xf numFmtId="164" fontId="0" fillId="5" borderId="0" xfId="0" applyNumberFormat="1" applyFill="1" applyAlignment="1">
      <alignment/>
    </xf>
    <xf numFmtId="0" fontId="0" fillId="5" borderId="0" xfId="0" applyFill="1" applyAlignment="1">
      <alignment wrapText="1"/>
    </xf>
    <xf numFmtId="0" fontId="0" fillId="5" borderId="0" xfId="0" applyFont="1" applyFill="1" applyAlignment="1">
      <alignment/>
    </xf>
    <xf numFmtId="0" fontId="0" fillId="11" borderId="0" xfId="0" applyFill="1" applyAlignment="1">
      <alignment/>
    </xf>
    <xf numFmtId="164" fontId="0" fillId="11" borderId="0" xfId="0" applyNumberFormat="1" applyFill="1" applyAlignment="1">
      <alignment/>
    </xf>
    <xf numFmtId="0" fontId="0" fillId="11" borderId="0" xfId="0" applyFill="1" applyAlignment="1">
      <alignment wrapText="1"/>
    </xf>
    <xf numFmtId="0" fontId="0" fillId="11" borderId="0" xfId="0" applyFont="1" applyFill="1" applyAlignment="1">
      <alignment/>
    </xf>
    <xf numFmtId="0" fontId="1" fillId="4" borderId="0" xfId="0" applyFont="1" applyFill="1" applyAlignment="1">
      <alignment/>
    </xf>
    <xf numFmtId="164" fontId="1" fillId="4" borderId="0" xfId="0" applyNumberFormat="1" applyFont="1" applyFill="1" applyAlignment="1">
      <alignment/>
    </xf>
    <xf numFmtId="0" fontId="11" fillId="0" borderId="0" xfId="20" applyFill="1" applyAlignment="1">
      <alignment/>
    </xf>
    <xf numFmtId="0" fontId="1" fillId="4" borderId="0" xfId="0" applyFont="1" applyFill="1" applyAlignment="1">
      <alignment wrapText="1"/>
    </xf>
    <xf numFmtId="0" fontId="0" fillId="4" borderId="0" xfId="0" applyFont="1" applyFill="1" applyAlignment="1">
      <alignment/>
    </xf>
    <xf numFmtId="0" fontId="11" fillId="11" borderId="0" xfId="20" applyFont="1" applyFill="1" applyAlignment="1">
      <alignment/>
    </xf>
    <xf numFmtId="0" fontId="11" fillId="5" borderId="0" xfId="20" applyFont="1" applyFill="1" applyAlignment="1">
      <alignment/>
    </xf>
    <xf numFmtId="0" fontId="11" fillId="4" borderId="0" xfId="20" applyFont="1" applyFill="1" applyAlignment="1">
      <alignment/>
    </xf>
    <xf numFmtId="0" fontId="0" fillId="0" borderId="0" xfId="0" applyFont="1" applyFill="1" applyAlignment="1">
      <alignment wrapText="1"/>
    </xf>
    <xf numFmtId="0" fontId="11" fillId="0" borderId="0" xfId="20" applyFont="1" applyFill="1" applyAlignment="1" quotePrefix="1">
      <alignment/>
    </xf>
    <xf numFmtId="0" fontId="11" fillId="9" borderId="0" xfId="20" applyFont="1" applyFill="1" applyAlignment="1" quotePrefix="1">
      <alignment/>
    </xf>
    <xf numFmtId="0" fontId="0" fillId="9" borderId="0" xfId="0" applyFill="1" applyAlignment="1" quotePrefix="1">
      <alignment/>
    </xf>
    <xf numFmtId="2" fontId="0" fillId="8" borderId="0" xfId="0" applyNumberFormat="1" applyFill="1" applyAlignment="1">
      <alignment/>
    </xf>
    <xf numFmtId="2" fontId="10" fillId="8" borderId="0" xfId="0" applyNumberFormat="1" applyFont="1" applyFill="1" applyAlignment="1">
      <alignment wrapText="1"/>
    </xf>
    <xf numFmtId="2" fontId="0" fillId="0" borderId="0" xfId="0" applyNumberFormat="1" applyAlignment="1">
      <alignment/>
    </xf>
    <xf numFmtId="2" fontId="0" fillId="0" borderId="0" xfId="0" applyNumberFormat="1" applyFill="1" applyAlignment="1">
      <alignment/>
    </xf>
    <xf numFmtId="2" fontId="0" fillId="0" borderId="0" xfId="0" applyNumberFormat="1" applyAlignment="1" quotePrefix="1">
      <alignment/>
    </xf>
    <xf numFmtId="0" fontId="0" fillId="7" borderId="0" xfId="0" applyNumberFormat="1" applyFill="1" applyAlignment="1">
      <alignment/>
    </xf>
    <xf numFmtId="2" fontId="0" fillId="10" borderId="0" xfId="0" applyNumberFormat="1" applyFill="1" applyAlignment="1">
      <alignment/>
    </xf>
    <xf numFmtId="16" fontId="0" fillId="0" borderId="0" xfId="0" applyNumberFormat="1" applyFill="1" applyAlignment="1" quotePrefix="1">
      <alignment/>
    </xf>
    <xf numFmtId="0" fontId="11" fillId="0" borderId="0" xfId="20" applyAlignment="1">
      <alignment vertical="center" wrapText="1"/>
    </xf>
    <xf numFmtId="0" fontId="8" fillId="0" borderId="0" xfId="0" applyFont="1" applyAlignment="1">
      <alignment/>
    </xf>
    <xf numFmtId="0" fontId="17" fillId="0" borderId="0" xfId="0" applyFont="1" applyAlignment="1">
      <alignment wrapText="1"/>
    </xf>
    <xf numFmtId="0" fontId="11" fillId="9" borderId="0" xfId="20" applyFill="1" applyAlignment="1" quotePrefix="1">
      <alignment/>
    </xf>
    <xf numFmtId="0" fontId="11" fillId="9" borderId="0" xfId="20" applyFill="1" applyAlignment="1">
      <alignment/>
    </xf>
    <xf numFmtId="0" fontId="11" fillId="0" borderId="0" xfId="20" applyAlignment="1">
      <alignment wrapText="1"/>
    </xf>
    <xf numFmtId="0" fontId="11" fillId="0" borderId="0" xfId="20" applyAlignment="1">
      <alignment/>
    </xf>
    <xf numFmtId="0" fontId="15" fillId="12" borderId="0" xfId="0" applyFont="1" applyFill="1" applyAlignment="1">
      <alignment wrapText="1"/>
    </xf>
    <xf numFmtId="0" fontId="15" fillId="0" borderId="0" xfId="0" applyFont="1" applyAlignment="1">
      <alignment/>
    </xf>
    <xf numFmtId="0" fontId="15" fillId="12" borderId="0" xfId="0" applyFont="1" applyFill="1" applyAlignment="1">
      <alignment/>
    </xf>
    <xf numFmtId="0" fontId="16" fillId="0" borderId="0" xfId="0" applyFont="1" applyAlignment="1">
      <alignment wrapText="1"/>
    </xf>
    <xf numFmtId="0" fontId="6" fillId="12" borderId="0" xfId="0" applyFont="1" applyFill="1" applyAlignment="1">
      <alignment wrapText="1"/>
    </xf>
    <xf numFmtId="0" fontId="15" fillId="12" borderId="0" xfId="0" applyFont="1" applyFill="1" applyAlignment="1">
      <alignment wrapText="1"/>
    </xf>
    <xf numFmtId="0" fontId="0" fillId="12" borderId="0" xfId="0" applyFill="1" applyAlignment="1">
      <alignment wrapText="1"/>
    </xf>
    <xf numFmtId="0" fontId="0" fillId="0" borderId="0" xfId="0" applyAlignment="1">
      <alignment wrapText="1"/>
    </xf>
    <xf numFmtId="0" fontId="0" fillId="0" borderId="0" xfId="0" applyAlignment="1">
      <alignment/>
    </xf>
    <xf numFmtId="1" fontId="0" fillId="7"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47625</xdr:rowOff>
    </xdr:from>
    <xdr:to>
      <xdr:col>7</xdr:col>
      <xdr:colOff>419100</xdr:colOff>
      <xdr:row>5</xdr:row>
      <xdr:rowOff>352425</xdr:rowOff>
    </xdr:to>
    <xdr:pic>
      <xdr:nvPicPr>
        <xdr:cNvPr id="1" name="CommandButton1"/>
        <xdr:cNvPicPr preferRelativeResize="1">
          <a:picLocks noChangeAspect="1"/>
        </xdr:cNvPicPr>
      </xdr:nvPicPr>
      <xdr:blipFill>
        <a:blip r:embed="rId1"/>
        <a:stretch>
          <a:fillRect/>
        </a:stretch>
      </xdr:blipFill>
      <xdr:spPr>
        <a:xfrm>
          <a:off x="2800350" y="4733925"/>
          <a:ext cx="2914650" cy="304800"/>
        </a:xfrm>
        <a:prstGeom prst="rect">
          <a:avLst/>
        </a:prstGeom>
        <a:noFill/>
        <a:ln w="9525" cmpd="sng">
          <a:noFill/>
        </a:ln>
      </xdr:spPr>
    </xdr:pic>
    <xdr:clientData/>
  </xdr:twoCellAnchor>
  <xdr:twoCellAnchor editAs="oneCell">
    <xdr:from>
      <xdr:col>3</xdr:col>
      <xdr:colOff>9525</xdr:colOff>
      <xdr:row>5</xdr:row>
      <xdr:rowOff>495300</xdr:rowOff>
    </xdr:from>
    <xdr:to>
      <xdr:col>7</xdr:col>
      <xdr:colOff>419100</xdr:colOff>
      <xdr:row>5</xdr:row>
      <xdr:rowOff>800100</xdr:rowOff>
    </xdr:to>
    <xdr:pic>
      <xdr:nvPicPr>
        <xdr:cNvPr id="2" name="CommandButton2"/>
        <xdr:cNvPicPr preferRelativeResize="1">
          <a:picLocks noChangeAspect="1"/>
        </xdr:cNvPicPr>
      </xdr:nvPicPr>
      <xdr:blipFill>
        <a:blip r:embed="rId2"/>
        <a:stretch>
          <a:fillRect/>
        </a:stretch>
      </xdr:blipFill>
      <xdr:spPr>
        <a:xfrm>
          <a:off x="2800350" y="5181600"/>
          <a:ext cx="29146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1</xdr:row>
      <xdr:rowOff>114300</xdr:rowOff>
    </xdr:from>
    <xdr:to>
      <xdr:col>9</xdr:col>
      <xdr:colOff>304800</xdr:colOff>
      <xdr:row>1</xdr:row>
      <xdr:rowOff>419100</xdr:rowOff>
    </xdr:to>
    <xdr:pic>
      <xdr:nvPicPr>
        <xdr:cNvPr id="1" name="CommandButton1"/>
        <xdr:cNvPicPr preferRelativeResize="1">
          <a:picLocks noChangeAspect="1"/>
        </xdr:cNvPicPr>
      </xdr:nvPicPr>
      <xdr:blipFill>
        <a:blip r:embed="rId1"/>
        <a:stretch>
          <a:fillRect/>
        </a:stretch>
      </xdr:blipFill>
      <xdr:spPr>
        <a:xfrm>
          <a:off x="5133975" y="590550"/>
          <a:ext cx="27336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2800350</xdr:colOff>
      <xdr:row>57</xdr:row>
      <xdr:rowOff>85725</xdr:rowOff>
    </xdr:from>
    <xdr:to>
      <xdr:col>1</xdr:col>
      <xdr:colOff>485775</xdr:colOff>
      <xdr:row>59</xdr:row>
      <xdr:rowOff>85725</xdr:rowOff>
    </xdr:to>
    <xdr:pic>
      <xdr:nvPicPr>
        <xdr:cNvPr id="1" name="SeasonPassDiscountReset"/>
        <xdr:cNvPicPr preferRelativeResize="1">
          <a:picLocks noChangeAspect="1"/>
        </xdr:cNvPicPr>
      </xdr:nvPicPr>
      <xdr:blipFill>
        <a:blip r:embed="rId1"/>
        <a:stretch>
          <a:fillRect/>
        </a:stretch>
      </xdr:blipFill>
      <xdr:spPr>
        <a:xfrm>
          <a:off x="2800350" y="9534525"/>
          <a:ext cx="4953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es.skiliberty.com/webwaresales/itemlist.aspx" TargetMode="External" /><Relationship Id="rId2" Type="http://schemas.openxmlformats.org/officeDocument/2006/relationships/hyperlink" Target="http://www.skiliberty.com/lmr/info/activities/show-schedule.aspx" TargetMode="External" /><Relationship Id="rId3" Type="http://schemas.openxmlformats.org/officeDocument/2006/relationships/hyperlink" Target="http://www.skiwhitetail.com/" TargetMode="External" /><Relationship Id="rId4" Type="http://schemas.openxmlformats.org/officeDocument/2006/relationships/hyperlink" Target="http://www.skiliberty.com/" TargetMode="External" /><Relationship Id="rId5" Type="http://schemas.openxmlformats.org/officeDocument/2006/relationships/hyperlink" Target="http://www.skiroundtop.co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ristolmountain.com/" TargetMode="External" /><Relationship Id="rId2" Type="http://schemas.openxmlformats.org/officeDocument/2006/relationships/hyperlink" Target="http://www.holidayvalley.com/HolidayValley/info/tickets-passes.aspx" TargetMode="External" /><Relationship Id="rId3" Type="http://schemas.openxmlformats.org/officeDocument/2006/relationships/hyperlink" Target="http://www.crystalmountain.com/winter/index.cfm?fuseaction=ticketslift" TargetMode="External" /><Relationship Id="rId4" Type="http://schemas.openxmlformats.org/officeDocument/2006/relationships/hyperlink" Target="http://www.jaypeakresort.com/#/skiing_riding/rates_hours/lift_tickets/" TargetMode="External" /><Relationship Id="rId5" Type="http://schemas.openxmlformats.org/officeDocument/2006/relationships/hyperlink" Target="http://www.jiminypeak.com/page.php?PageID=1328&amp;PageName=Lift+Tickets" TargetMode="External" /><Relationship Id="rId6" Type="http://schemas.openxmlformats.org/officeDocument/2006/relationships/hyperlink" Target="http://www.mtsunapee.com/mtsunapeewinter/rates/lifttickets.asp" TargetMode="External" /><Relationship Id="rId7" Type="http://schemas.openxmlformats.org/officeDocument/2006/relationships/hyperlink" Target="http://www.okemo.com/okemowinter/ratesandrentals/tixpassesprograms/lifttickets.asp" TargetMode="External" /><Relationship Id="rId8" Type="http://schemas.openxmlformats.org/officeDocument/2006/relationships/hyperlink" Target="http://www.shawneemt.com/rates.html" TargetMode="External" /><Relationship Id="rId9" Type="http://schemas.openxmlformats.org/officeDocument/2006/relationships/hyperlink" Target="http://wawa.wachusett.com/rates_packages/lift_Ticket_rates/" TargetMode="External" /><Relationship Id="rId10" Type="http://schemas.openxmlformats.org/officeDocument/2006/relationships/hyperlink" Target="http://www.wintergreenresort.com/ski_and_ride/lift_ticket_prices.aspx" TargetMode="External" /><Relationship Id="rId11" Type="http://schemas.openxmlformats.org/officeDocument/2006/relationships/hyperlink" Target="http://windhammountain.com/tickets-passes/daily-tickets/" TargetMode="External" /><Relationship Id="rId12" Type="http://schemas.openxmlformats.org/officeDocument/2006/relationships/hyperlink" Target="http://www.skicb.com/cbmr/mountain/lift-tickets.aspx" TargetMode="External" /><Relationship Id="rId13" Type="http://schemas.openxmlformats.org/officeDocument/2006/relationships/hyperlink" Target="http://www.stratton.com/tickets-and-passes/tickets/index.htm" TargetMode="External" /><Relationship Id="rId14" Type="http://schemas.openxmlformats.org/officeDocument/2006/relationships/hyperlink" Target="http://www.7springs.com/page/category.detail/nav/5001.html" TargetMode="External" /><Relationship Id="rId15" Type="http://schemas.openxmlformats.org/officeDocument/2006/relationships/comments" Target="../comments4.xml" /><Relationship Id="rId16" Type="http://schemas.openxmlformats.org/officeDocument/2006/relationships/vmlDrawing" Target="../drawings/vmlDrawing3.vm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hyperlink" Target="http://www.stratton.com/tickets-and-passes/tickets/index.htm" TargetMode="External" /><Relationship Id="rId2" Type="http://schemas.openxmlformats.org/officeDocument/2006/relationships/hyperlink" Target="http://www.skiwhitetail.com/rates.htm" TargetMode="External" /><Relationship Id="rId3" Type="http://schemas.openxmlformats.org/officeDocument/2006/relationships/hyperlink" Target="http://www.skiliberty.com/lmr/mountain/rates-passes.aspx" TargetMode="Externa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M299"/>
  <sheetViews>
    <sheetView workbookViewId="0" topLeftCell="A4">
      <selection activeCell="A3" sqref="A3"/>
    </sheetView>
  </sheetViews>
  <sheetFormatPr defaultColWidth="9.140625" defaultRowHeight="12.75"/>
  <cols>
    <col min="1" max="1" width="20.57421875" style="0" customWidth="1"/>
    <col min="2" max="2" width="15.8515625" style="0" customWidth="1"/>
    <col min="3" max="3" width="5.421875" style="0" customWidth="1"/>
    <col min="5" max="5" width="10.140625" style="0" customWidth="1"/>
    <col min="6" max="6" width="9.140625" style="4" customWidth="1"/>
    <col min="7" max="8" width="9.140625" style="1" customWidth="1"/>
    <col min="9" max="9" width="10.28125" style="1" customWidth="1"/>
    <col min="10" max="10" width="14.28125" style="1" customWidth="1"/>
    <col min="11" max="11" width="12.7109375" style="0" customWidth="1"/>
  </cols>
  <sheetData>
    <row r="1" spans="1:10" s="22" customFormat="1" ht="117" customHeight="1">
      <c r="A1" s="46" t="s">
        <v>228</v>
      </c>
      <c r="B1" s="38"/>
      <c r="C1" s="38"/>
      <c r="D1" s="38"/>
      <c r="E1" s="38"/>
      <c r="F1" s="39"/>
      <c r="G1" s="40"/>
      <c r="H1" s="40"/>
      <c r="I1" s="40"/>
      <c r="J1" s="40"/>
    </row>
    <row r="2" spans="1:13" ht="20.25" customHeight="1" thickBot="1">
      <c r="A2" t="s">
        <v>77</v>
      </c>
      <c r="K2" s="3" t="s">
        <v>250</v>
      </c>
      <c r="L2" s="2"/>
      <c r="M2" t="s">
        <v>265</v>
      </c>
    </row>
    <row r="3" spans="1:11" ht="62.25" customHeight="1" thickBot="1" thickTop="1">
      <c r="A3" s="23" t="s">
        <v>19</v>
      </c>
      <c r="K3" s="1"/>
    </row>
    <row r="4" spans="1:7" ht="97.5" customHeight="1" thickBot="1" thickTop="1">
      <c r="A4" s="23" t="s">
        <v>138</v>
      </c>
      <c r="B4" t="s">
        <v>68</v>
      </c>
      <c r="C4" s="4"/>
      <c r="G4" s="11"/>
    </row>
    <row r="5" spans="1:6" ht="72" customHeight="1" thickBot="1" thickTop="1">
      <c r="A5" s="23" t="s">
        <v>67</v>
      </c>
      <c r="B5" s="10" t="str">
        <f>IF(AND('Pass&amp;CardChoice'!B39,'Free tickets'!C11&gt;0),"Enter free visits in column G","No free tickets earned yet.")</f>
        <v>No free tickets earned yet.</v>
      </c>
      <c r="C5" s="24">
        <f>IF(AND(B38,(OR('Free tickets'!E3&lt;0,'Free tickets'!E4&lt;0,'Free tickets'!E5&lt;0,'Free tickets'!E6&lt;0,'Free tickets'!E7&lt;0,'Free tickets'!E8&lt;0,'Free tickets'!E9&lt;0,'Free tickets'!E10&lt;0))),"Error - Too many free tickets used","")</f>
      </c>
      <c r="F5" s="29" t="b">
        <v>0</v>
      </c>
    </row>
    <row r="6" spans="1:6" ht="72" customHeight="1" thickBot="1" thickTop="1">
      <c r="A6" s="23" t="s">
        <v>191</v>
      </c>
      <c r="B6" s="10"/>
      <c r="C6" s="24"/>
      <c r="F6" s="29"/>
    </row>
    <row r="7" spans="1:5" ht="66.75" customHeight="1" thickBot="1" thickTop="1">
      <c r="A7" s="23" t="s">
        <v>190</v>
      </c>
      <c r="B7" s="81" t="s">
        <v>200</v>
      </c>
      <c r="C7" s="4"/>
      <c r="D7" s="86" t="s">
        <v>201</v>
      </c>
      <c r="E7" s="87"/>
    </row>
    <row r="8" spans="1:8" ht="13.5" thickTop="1">
      <c r="A8" t="s">
        <v>15</v>
      </c>
      <c r="B8" s="4">
        <f>'Pass&amp;CardChoice'!A28</f>
        <v>0</v>
      </c>
      <c r="H8" s="27"/>
    </row>
    <row r="9" spans="1:8" ht="12.75">
      <c r="A9" t="s">
        <v>18</v>
      </c>
      <c r="B9" s="4">
        <f>K114+K208+K293+SUM(K297:K299)</f>
        <v>0</v>
      </c>
      <c r="H9" s="27"/>
    </row>
    <row r="10" spans="1:8" ht="12.75">
      <c r="A10" t="s">
        <v>17</v>
      </c>
      <c r="B10" s="4">
        <f>B9-B8</f>
        <v>0</v>
      </c>
      <c r="C10" s="4">
        <f>IF(AND(B10&gt;0,OR('Pass&amp;CardChoice'!B39,'Pass&amp;CardChoice'!B40)),"Now you're saving money","")</f>
      </c>
      <c r="H10" s="27"/>
    </row>
    <row r="11" ht="12.75">
      <c r="C11" s="25">
        <f>IF(AND(B10&gt;0,NOT('Pass&amp;CardChoice'!B39),NOT('Pass&amp;CardChoice'!B40)),"Whoa - you need to choose a card or pass before you can save money","")</f>
      </c>
    </row>
    <row r="12" spans="1:10" s="17" customFormat="1" ht="12.75">
      <c r="A12" s="67" t="s">
        <v>226</v>
      </c>
      <c r="F12" s="54"/>
      <c r="G12" s="55"/>
      <c r="H12" s="55"/>
      <c r="I12" s="55"/>
      <c r="J12" s="55"/>
    </row>
    <row r="13" spans="3:11" ht="37.5" customHeight="1">
      <c r="C13" s="1" t="s">
        <v>45</v>
      </c>
      <c r="D13" s="1" t="s">
        <v>24</v>
      </c>
      <c r="E13" s="1" t="s">
        <v>6</v>
      </c>
      <c r="F13" s="5" t="s">
        <v>61</v>
      </c>
      <c r="G13" s="1" t="s">
        <v>9</v>
      </c>
      <c r="H13" s="1" t="s">
        <v>43</v>
      </c>
      <c r="I13" s="1" t="s">
        <v>23</v>
      </c>
      <c r="J13" s="1" t="s">
        <v>44</v>
      </c>
      <c r="K13" s="1" t="s">
        <v>30</v>
      </c>
    </row>
    <row r="14" ht="12.75">
      <c r="A14" t="s">
        <v>47</v>
      </c>
    </row>
    <row r="15" spans="2:11" ht="12.75">
      <c r="B15" t="s">
        <v>25</v>
      </c>
      <c r="C15" s="56"/>
      <c r="D15" s="4">
        <f>'Ticket Prices'!C7</f>
        <v>63</v>
      </c>
      <c r="E15" s="4">
        <f>0.6*D15</f>
        <v>37.8</v>
      </c>
      <c r="F15" s="4">
        <f>IF('Pass&amp;CardChoice'!$B$39,D15-E15,IF('Pass&amp;CardChoice'!$B$40,IF(NOT(OR('Pass&amp;CardChoice'!$B$12,'Pass&amp;CardChoice'!$B$13,'Pass&amp;CardChoice'!$B$14,'Pass&amp;CardChoice'!$B$15)),D15,0),0))</f>
        <v>0</v>
      </c>
      <c r="G15" s="9"/>
      <c r="H15" s="1">
        <f>CHOOSE('Rental type'!A5,'Ticket Prices'!$C$22,'Ticket Prices'!$C$31,0)</f>
        <v>0</v>
      </c>
      <c r="I15" s="1">
        <f aca="true" t="shared" si="0" ref="I15:I20">0.6*H15</f>
        <v>0</v>
      </c>
      <c r="J15" s="1">
        <f>(H15-I15)</f>
        <v>0</v>
      </c>
      <c r="K15" s="4">
        <f>(C15*F15)+(G15*D15)+(C15*J15)+(G15*H15)</f>
        <v>0</v>
      </c>
    </row>
    <row r="16" spans="2:11" ht="12.75">
      <c r="B16" t="s">
        <v>26</v>
      </c>
      <c r="C16" s="56"/>
      <c r="D16" s="4">
        <f>D15</f>
        <v>63</v>
      </c>
      <c r="E16" s="4">
        <f>0.6*D16</f>
        <v>37.8</v>
      </c>
      <c r="F16" s="4">
        <f>IF('Pass&amp;CardChoice'!$B$39,D16-E16,IF('Pass&amp;CardChoice'!$B$16,D16,0))</f>
        <v>0</v>
      </c>
      <c r="G16" s="9"/>
      <c r="H16" s="1">
        <f>CHOOSE('Rental type'!A6,'Ticket Prices'!$C$22,'Ticket Prices'!$C$31,0)</f>
        <v>0</v>
      </c>
      <c r="I16" s="1">
        <f t="shared" si="0"/>
        <v>0</v>
      </c>
      <c r="J16" s="1">
        <f aca="true" t="shared" si="1" ref="J16:J21">H16-I16</f>
        <v>0</v>
      </c>
      <c r="K16" s="4">
        <f aca="true" t="shared" si="2" ref="K16:K22">(C16*F16)+(G16*D16)+(C16*J16)+(G16*H16)</f>
        <v>0</v>
      </c>
    </row>
    <row r="17" spans="2:11" ht="12.75">
      <c r="B17" t="s">
        <v>39</v>
      </c>
      <c r="C17" s="56"/>
      <c r="D17" s="4">
        <f>D16</f>
        <v>63</v>
      </c>
      <c r="E17" s="4">
        <f>0.6*D17</f>
        <v>37.8</v>
      </c>
      <c r="F17" s="4">
        <f>IF('Pass&amp;CardChoice'!$B$39,D17-E17,IF('Pass&amp;CardChoice'!$B$17,D17,0))</f>
        <v>0</v>
      </c>
      <c r="G17" s="9"/>
      <c r="H17" s="1">
        <f>CHOOSE('Rental type'!A7,'Ticket Prices'!$C$22,'Ticket Prices'!$C$31,0)</f>
        <v>0</v>
      </c>
      <c r="I17" s="1">
        <f t="shared" si="0"/>
        <v>0</v>
      </c>
      <c r="J17" s="1">
        <f>H17-I17</f>
        <v>0</v>
      </c>
      <c r="K17" s="4">
        <f t="shared" si="2"/>
        <v>0</v>
      </c>
    </row>
    <row r="18" spans="2:11" ht="12.75">
      <c r="B18" t="s">
        <v>40</v>
      </c>
      <c r="C18" s="56"/>
      <c r="D18" s="4">
        <f>D17</f>
        <v>63</v>
      </c>
      <c r="E18" s="4">
        <f>0.6*D18</f>
        <v>37.8</v>
      </c>
      <c r="F18" s="4">
        <f>IF('Pass&amp;CardChoice'!$B$39,D18-E18,IF('Pass&amp;CardChoice'!$B$18,D18,0))</f>
        <v>0</v>
      </c>
      <c r="G18" s="9"/>
      <c r="H18" s="1">
        <f>CHOOSE('Rental type'!A8,'Ticket Prices'!$C$22,'Ticket Prices'!$C$31,0)</f>
        <v>0</v>
      </c>
      <c r="I18" s="1">
        <f t="shared" si="0"/>
        <v>0</v>
      </c>
      <c r="J18" s="1">
        <f>H18-I18</f>
        <v>0</v>
      </c>
      <c r="K18" s="4">
        <f t="shared" si="2"/>
        <v>0</v>
      </c>
    </row>
    <row r="19" spans="2:11" ht="12.75">
      <c r="B19" t="s">
        <v>27</v>
      </c>
      <c r="C19" s="56"/>
      <c r="D19" s="4">
        <f>'Ticket Prices'!C11</f>
        <v>55</v>
      </c>
      <c r="E19" s="4">
        <f aca="true" t="shared" si="3" ref="E19:E90">0.6*D19</f>
        <v>33</v>
      </c>
      <c r="F19" s="4">
        <f>IF('Pass&amp;CardChoice'!$B$39,D19-E19,IF(OR('Pass&amp;CardChoice'!$B$16,'Pass&amp;CardChoice'!$B$19),D19,0))</f>
        <v>0</v>
      </c>
      <c r="G19" s="9"/>
      <c r="H19" s="1">
        <f>CHOOSE('Rental type'!A9,'Ticket Prices'!$C$22,'Ticket Prices'!$C$31,0)</f>
        <v>0</v>
      </c>
      <c r="I19" s="1">
        <f t="shared" si="0"/>
        <v>0</v>
      </c>
      <c r="J19" s="1">
        <f t="shared" si="1"/>
        <v>0</v>
      </c>
      <c r="K19" s="4">
        <f t="shared" si="2"/>
        <v>0</v>
      </c>
    </row>
    <row r="20" spans="2:11" ht="12.75">
      <c r="B20" t="s">
        <v>28</v>
      </c>
      <c r="C20" s="56"/>
      <c r="D20" s="4">
        <f>D19</f>
        <v>55</v>
      </c>
      <c r="E20" s="4">
        <f t="shared" si="3"/>
        <v>33</v>
      </c>
      <c r="F20" s="4">
        <f>IF('Pass&amp;CardChoice'!$B$39,D20-E20,IF('Pass&amp;CardChoice'!$B$20,D20,0))</f>
        <v>0</v>
      </c>
      <c r="G20" s="9"/>
      <c r="H20" s="1">
        <f>CHOOSE('Rental type'!A10,'Ticket Prices'!$C$22,'Ticket Prices'!$C$31,0)</f>
        <v>0</v>
      </c>
      <c r="I20" s="1">
        <f t="shared" si="0"/>
        <v>0</v>
      </c>
      <c r="J20" s="1">
        <f t="shared" si="1"/>
        <v>0</v>
      </c>
      <c r="K20" s="4">
        <f t="shared" si="2"/>
        <v>0</v>
      </c>
    </row>
    <row r="21" spans="2:11" ht="12.75">
      <c r="B21" t="s">
        <v>29</v>
      </c>
      <c r="C21" s="56"/>
      <c r="D21" s="4">
        <f>D20</f>
        <v>55</v>
      </c>
      <c r="E21" s="4">
        <f t="shared" si="3"/>
        <v>33</v>
      </c>
      <c r="F21" s="4">
        <f>IF('Pass&amp;CardChoice'!$B$39,D21-E21,IF('Pass&amp;CardChoice'!$B$21,D21,0))</f>
        <v>0</v>
      </c>
      <c r="G21" s="9"/>
      <c r="H21" s="1">
        <f>CHOOSE('Rental type'!A11,'Ticket Prices'!$C$22,'Ticket Prices'!$C$31,0)</f>
        <v>0</v>
      </c>
      <c r="I21" s="1">
        <f aca="true" t="shared" si="4" ref="I21:I51">0.6*H21</f>
        <v>0</v>
      </c>
      <c r="J21" s="1">
        <f t="shared" si="1"/>
        <v>0</v>
      </c>
      <c r="K21" s="4">
        <f t="shared" si="2"/>
        <v>0</v>
      </c>
    </row>
    <row r="22" spans="2:11" ht="12.75">
      <c r="B22" t="s">
        <v>137</v>
      </c>
      <c r="C22" s="56"/>
      <c r="D22" s="4">
        <f>D15</f>
        <v>63</v>
      </c>
      <c r="E22" s="4">
        <f t="shared" si="3"/>
        <v>37.8</v>
      </c>
      <c r="F22" s="4">
        <f>IF('Pass&amp;CardChoice'!$B$39,D22-E22,IF('Pass&amp;CardChoice'!$B$40,IF(NOT(OR('Pass&amp;CardChoice'!$B$12,'Pass&amp;CardChoice'!$B$13,'Pass&amp;CardChoice'!$B$14,'Pass&amp;CardChoice'!$B$15)),D22,0),0))</f>
        <v>0</v>
      </c>
      <c r="G22" s="9"/>
      <c r="H22" s="1">
        <f>CHOOSE('Rental type'!A12,'Ticket Prices'!$C$22,'Ticket Prices'!$C$31,0)</f>
        <v>0</v>
      </c>
      <c r="I22" s="1">
        <f t="shared" si="4"/>
        <v>0</v>
      </c>
      <c r="J22" s="1">
        <f>H22-I22</f>
        <v>0</v>
      </c>
      <c r="K22" s="4">
        <f t="shared" si="2"/>
        <v>0</v>
      </c>
    </row>
    <row r="23" spans="2:11" ht="12.75">
      <c r="B23" t="s">
        <v>123</v>
      </c>
      <c r="C23" s="56"/>
      <c r="D23" s="4">
        <f>D15</f>
        <v>63</v>
      </c>
      <c r="E23" s="4">
        <f t="shared" si="3"/>
        <v>37.8</v>
      </c>
      <c r="F23" s="4">
        <f>IF('Pass&amp;CardChoice'!$B$7,D23-E23,0)</f>
        <v>0</v>
      </c>
      <c r="G23" s="31"/>
      <c r="H23" s="31"/>
      <c r="I23" s="31"/>
      <c r="J23" s="31"/>
      <c r="K23" s="4">
        <f>F23</f>
        <v>0</v>
      </c>
    </row>
    <row r="24" spans="2:11" ht="12.75">
      <c r="B24" t="s">
        <v>124</v>
      </c>
      <c r="C24" s="56"/>
      <c r="D24" s="4">
        <f>D19</f>
        <v>55</v>
      </c>
      <c r="E24" s="4">
        <f t="shared" si="3"/>
        <v>33</v>
      </c>
      <c r="F24" s="4">
        <f>IF('Pass&amp;CardChoice'!$B$7,D24-E24,0)</f>
        <v>0</v>
      </c>
      <c r="G24" s="31"/>
      <c r="H24" s="31"/>
      <c r="I24" s="31"/>
      <c r="J24" s="31"/>
      <c r="K24" s="4">
        <f>F24</f>
        <v>0</v>
      </c>
    </row>
    <row r="25" spans="1:11" ht="12.75">
      <c r="A25" t="s">
        <v>3</v>
      </c>
      <c r="D25" s="4"/>
      <c r="E25" s="4"/>
      <c r="K25" s="4"/>
    </row>
    <row r="26" spans="2:11" ht="12.75">
      <c r="B26" t="s">
        <v>25</v>
      </c>
      <c r="C26" s="56"/>
      <c r="D26" s="4">
        <f>'Ticket Prices'!C6</f>
        <v>59</v>
      </c>
      <c r="E26" s="4">
        <f t="shared" si="3"/>
        <v>35.4</v>
      </c>
      <c r="F26" s="4">
        <f>IF('Pass&amp;CardChoice'!$B$39,D26-E26,IF('Pass&amp;CardChoice'!$B$40,IF(NOT(OR('Pass&amp;CardChoice'!$B$12,'Pass&amp;CardChoice'!$B$13,'Pass&amp;CardChoice'!$B$14,'Pass&amp;CardChoice'!$B$15)),D26,0),0))</f>
        <v>0</v>
      </c>
      <c r="G26" s="9"/>
      <c r="H26" s="1">
        <f>CHOOSE('Rental type'!A5,'Ticket Prices'!$C$21,'Ticket Prices'!$C$30,0)</f>
        <v>0</v>
      </c>
      <c r="I26" s="1">
        <f t="shared" si="4"/>
        <v>0</v>
      </c>
      <c r="J26" s="1">
        <f>H26-I26</f>
        <v>0</v>
      </c>
      <c r="K26" s="4">
        <f aca="true" t="shared" si="5" ref="K26:K32">(C26*F26)+(G26*D26)+(C26*J26)+(G26*H26)</f>
        <v>0</v>
      </c>
    </row>
    <row r="27" spans="2:11" ht="12.75">
      <c r="B27" t="s">
        <v>26</v>
      </c>
      <c r="C27" s="56"/>
      <c r="D27" s="4">
        <f>D26</f>
        <v>59</v>
      </c>
      <c r="E27" s="4">
        <f t="shared" si="3"/>
        <v>35.4</v>
      </c>
      <c r="F27" s="4">
        <f>IF('Pass&amp;CardChoice'!$B$39,D27-E27,IF('Pass&amp;CardChoice'!$B$40,IF(NOT(OR('Pass&amp;CardChoice'!$B$12,'Pass&amp;CardChoice'!$B$13,'Pass&amp;CardChoice'!$B$14,'Pass&amp;CardChoice'!$B$15)),D27,0),0))</f>
        <v>0</v>
      </c>
      <c r="G27" s="9"/>
      <c r="H27" s="1">
        <f>CHOOSE('Rental type'!A6,'Ticket Prices'!$C$21,'Ticket Prices'!$C$30,0)</f>
        <v>0</v>
      </c>
      <c r="I27" s="1">
        <f t="shared" si="4"/>
        <v>0</v>
      </c>
      <c r="J27" s="1">
        <f aca="true" t="shared" si="6" ref="J27:J32">H27-I27</f>
        <v>0</v>
      </c>
      <c r="K27" s="4">
        <f t="shared" si="5"/>
        <v>0</v>
      </c>
    </row>
    <row r="28" spans="2:11" ht="12.75">
      <c r="B28" t="s">
        <v>39</v>
      </c>
      <c r="C28" s="56"/>
      <c r="D28" s="4">
        <f>D27</f>
        <v>59</v>
      </c>
      <c r="E28" s="4">
        <f t="shared" si="3"/>
        <v>35.4</v>
      </c>
      <c r="F28" s="4">
        <f>IF('Pass&amp;CardChoice'!$B$39,D28-E28,IF('Pass&amp;CardChoice'!$B$40,IF(NOT(OR('Pass&amp;CardChoice'!$B$12,'Pass&amp;CardChoice'!$B$13,'Pass&amp;CardChoice'!$B$14,'Pass&amp;CardChoice'!$B$15)),D28,0),0))</f>
        <v>0</v>
      </c>
      <c r="G28" s="9"/>
      <c r="H28" s="1">
        <f>CHOOSE('Rental type'!A7,'Ticket Prices'!$C$21,'Ticket Prices'!$C$30,0)</f>
        <v>0</v>
      </c>
      <c r="I28" s="1">
        <f t="shared" si="4"/>
        <v>0</v>
      </c>
      <c r="J28" s="1">
        <f>H28-I28</f>
        <v>0</v>
      </c>
      <c r="K28" s="4">
        <f t="shared" si="5"/>
        <v>0</v>
      </c>
    </row>
    <row r="29" spans="2:11" ht="12.75">
      <c r="B29" t="s">
        <v>40</v>
      </c>
      <c r="C29" s="56"/>
      <c r="D29" s="4">
        <f>D28</f>
        <v>59</v>
      </c>
      <c r="E29" s="4">
        <f t="shared" si="3"/>
        <v>35.4</v>
      </c>
      <c r="F29" s="4">
        <f>IF('Pass&amp;CardChoice'!$B$39,D29-E29,IF('Pass&amp;CardChoice'!$B$40,IF(NOT(OR('Pass&amp;CardChoice'!$B$12,'Pass&amp;CardChoice'!$B$13,'Pass&amp;CardChoice'!$B$14,'Pass&amp;CardChoice'!$B$15)),D29,0),0))</f>
        <v>0</v>
      </c>
      <c r="G29" s="9"/>
      <c r="H29" s="1">
        <f>CHOOSE('Rental type'!A8,'Ticket Prices'!$C$21,'Ticket Prices'!$C$30,0)</f>
        <v>0</v>
      </c>
      <c r="I29" s="1">
        <f t="shared" si="4"/>
        <v>0</v>
      </c>
      <c r="J29" s="1">
        <f>H29-I29</f>
        <v>0</v>
      </c>
      <c r="K29" s="4">
        <f t="shared" si="5"/>
        <v>0</v>
      </c>
    </row>
    <row r="30" spans="2:11" ht="12.75">
      <c r="B30" t="s">
        <v>27</v>
      </c>
      <c r="C30" s="56"/>
      <c r="D30" s="4">
        <f>'Ticket Prices'!C10</f>
        <v>52</v>
      </c>
      <c r="E30" s="4">
        <f t="shared" si="3"/>
        <v>31.2</v>
      </c>
      <c r="F30" s="4">
        <f>IF('Pass&amp;CardChoice'!$B$39,D30-E30,IF('Pass&amp;CardChoice'!$B$40,IF(NOT(OR('Pass&amp;CardChoice'!$B$12,'Pass&amp;CardChoice'!$B$13,'Pass&amp;CardChoice'!$B$14,'Pass&amp;CardChoice'!$B$15)),D30,0),0))</f>
        <v>0</v>
      </c>
      <c r="G30" s="9"/>
      <c r="H30" s="1">
        <f>CHOOSE('Rental type'!A9,'Ticket Prices'!$C$21,'Ticket Prices'!$C$30,0)</f>
        <v>0</v>
      </c>
      <c r="I30" s="1">
        <f t="shared" si="4"/>
        <v>0</v>
      </c>
      <c r="J30" s="1">
        <f t="shared" si="6"/>
        <v>0</v>
      </c>
      <c r="K30" s="4">
        <f t="shared" si="5"/>
        <v>0</v>
      </c>
    </row>
    <row r="31" spans="2:11" ht="12.75">
      <c r="B31" t="s">
        <v>28</v>
      </c>
      <c r="C31" s="56"/>
      <c r="D31" s="4">
        <f>D30</f>
        <v>52</v>
      </c>
      <c r="E31" s="4">
        <f t="shared" si="3"/>
        <v>31.2</v>
      </c>
      <c r="F31" s="4">
        <f>IF('Pass&amp;CardChoice'!$B$39,D31-E31,IF('Pass&amp;CardChoice'!$B$40,IF(NOT(OR('Pass&amp;CardChoice'!$B$12,'Pass&amp;CardChoice'!$B$13,'Pass&amp;CardChoice'!$B$14,'Pass&amp;CardChoice'!$B$15)),D31,0),0))</f>
        <v>0</v>
      </c>
      <c r="G31" s="9"/>
      <c r="H31" s="1">
        <f>CHOOSE('Rental type'!A10,'Ticket Prices'!$C$21,'Ticket Prices'!$C$30,0)</f>
        <v>0</v>
      </c>
      <c r="I31" s="1">
        <f t="shared" si="4"/>
        <v>0</v>
      </c>
      <c r="J31" s="1">
        <f t="shared" si="6"/>
        <v>0</v>
      </c>
      <c r="K31" s="4">
        <f t="shared" si="5"/>
        <v>0</v>
      </c>
    </row>
    <row r="32" spans="2:11" ht="12.75">
      <c r="B32" t="s">
        <v>29</v>
      </c>
      <c r="C32" s="56"/>
      <c r="D32" s="4">
        <f>D31</f>
        <v>52</v>
      </c>
      <c r="E32" s="4">
        <f t="shared" si="3"/>
        <v>31.2</v>
      </c>
      <c r="F32" s="4">
        <f>IF('Pass&amp;CardChoice'!$B$39,D32-E32,IF('Pass&amp;CardChoice'!$B$40,IF(NOT(OR('Pass&amp;CardChoice'!$B$12,'Pass&amp;CardChoice'!$B$13,'Pass&amp;CardChoice'!$B$14,'Pass&amp;CardChoice'!$B$15)),D32,0),0))</f>
        <v>0</v>
      </c>
      <c r="G32" s="9"/>
      <c r="H32" s="1">
        <f>CHOOSE('Rental type'!A11,'Ticket Prices'!$C$21,'Ticket Prices'!$C$30,0)</f>
        <v>0</v>
      </c>
      <c r="I32" s="1">
        <f t="shared" si="4"/>
        <v>0</v>
      </c>
      <c r="J32" s="1">
        <f t="shared" si="6"/>
        <v>0</v>
      </c>
      <c r="K32" s="4">
        <f t="shared" si="5"/>
        <v>0</v>
      </c>
    </row>
    <row r="33" spans="2:11" ht="12.75">
      <c r="B33" t="s">
        <v>137</v>
      </c>
      <c r="C33" s="56"/>
      <c r="D33" s="4">
        <f>D26</f>
        <v>59</v>
      </c>
      <c r="E33" s="4">
        <f t="shared" si="3"/>
        <v>35.4</v>
      </c>
      <c r="F33" s="4">
        <f>IF('Pass&amp;CardChoice'!$B$39,D33-E33,IF('Pass&amp;CardChoice'!$B$40,IF(NOT(OR('Pass&amp;CardChoice'!$B$12,'Pass&amp;CardChoice'!$B$13,'Pass&amp;CardChoice'!$B$14,'Pass&amp;CardChoice'!$B$15)),D33,0),0))</f>
        <v>0</v>
      </c>
      <c r="G33" s="9"/>
      <c r="H33" s="1">
        <f>CHOOSE('Rental type'!A12,'Ticket Prices'!$C$21,'Ticket Prices'!$C$30,0)</f>
        <v>0</v>
      </c>
      <c r="I33" s="1">
        <f t="shared" si="4"/>
        <v>0</v>
      </c>
      <c r="J33" s="1">
        <f>H33-I33</f>
        <v>0</v>
      </c>
      <c r="K33" s="4">
        <f>(C33*F33)+(G33*D33)+(C33*J33)+(G33*H33)</f>
        <v>0</v>
      </c>
    </row>
    <row r="34" spans="2:11" ht="12.75">
      <c r="B34" t="s">
        <v>123</v>
      </c>
      <c r="C34" s="56"/>
      <c r="D34" s="4">
        <f>D26</f>
        <v>59</v>
      </c>
      <c r="E34" s="4">
        <f t="shared" si="3"/>
        <v>35.4</v>
      </c>
      <c r="F34" s="4">
        <f>IF('Pass&amp;CardChoice'!$B$7,D34-E34,0)</f>
        <v>0</v>
      </c>
      <c r="G34" s="31"/>
      <c r="H34" s="31"/>
      <c r="I34" s="31"/>
      <c r="J34" s="31"/>
      <c r="K34" s="4">
        <f>F34</f>
        <v>0</v>
      </c>
    </row>
    <row r="35" spans="2:11" ht="12.75">
      <c r="B35" t="s">
        <v>124</v>
      </c>
      <c r="C35" s="56"/>
      <c r="D35" s="4">
        <f>D30</f>
        <v>52</v>
      </c>
      <c r="E35" s="4">
        <f t="shared" si="3"/>
        <v>31.2</v>
      </c>
      <c r="F35" s="4">
        <f>IF('Pass&amp;CardChoice'!$B$7,D35-E35,0)</f>
        <v>0</v>
      </c>
      <c r="G35" s="31"/>
      <c r="H35" s="31"/>
      <c r="I35" s="31"/>
      <c r="J35" s="31"/>
      <c r="K35" s="4">
        <f>F35</f>
        <v>0</v>
      </c>
    </row>
    <row r="36" spans="1:11" ht="12.75">
      <c r="A36" t="s">
        <v>4</v>
      </c>
      <c r="D36" s="4"/>
      <c r="E36" s="4"/>
      <c r="K36" s="4"/>
    </row>
    <row r="37" spans="2:11" ht="12.75">
      <c r="B37" t="s">
        <v>25</v>
      </c>
      <c r="C37" s="56"/>
      <c r="D37" s="4">
        <f>'Ticket Prices'!C5</f>
        <v>55</v>
      </c>
      <c r="E37" s="4">
        <f t="shared" si="3"/>
        <v>33</v>
      </c>
      <c r="F37" s="4">
        <f>IF('Pass&amp;CardChoice'!$B$39,D37-E37,IF('Pass&amp;CardChoice'!$B$40,IF(NOT(OR('Pass&amp;CardChoice'!$B$12,'Pass&amp;CardChoice'!$B$13,'Pass&amp;CardChoice'!$B$14,'Pass&amp;CardChoice'!$B$15)),D37,0),0))</f>
        <v>0</v>
      </c>
      <c r="G37" s="9"/>
      <c r="H37" s="1">
        <f>CHOOSE('Rental type'!A5,'Ticket Prices'!$C$20,'Ticket Prices'!$C$29,0)</f>
        <v>0</v>
      </c>
      <c r="I37" s="1">
        <f t="shared" si="4"/>
        <v>0</v>
      </c>
      <c r="J37" s="1">
        <f aca="true" t="shared" si="7" ref="J37:J43">H37-I37</f>
        <v>0</v>
      </c>
      <c r="K37" s="4">
        <f aca="true" t="shared" si="8" ref="K37:K43">(C37*F37)+(G37*D37)+(C37*J37)+(G37*H37)</f>
        <v>0</v>
      </c>
    </row>
    <row r="38" spans="2:11" ht="12.75">
      <c r="B38" t="s">
        <v>26</v>
      </c>
      <c r="C38" s="56"/>
      <c r="D38" s="4">
        <f>D37</f>
        <v>55</v>
      </c>
      <c r="E38" s="4">
        <f t="shared" si="3"/>
        <v>33</v>
      </c>
      <c r="F38" s="4">
        <f>IF('Pass&amp;CardChoice'!$B$39,D38-E38,IF('Pass&amp;CardChoice'!$B$40,IF(NOT(OR('Pass&amp;CardChoice'!$B$12,'Pass&amp;CardChoice'!$B$13,'Pass&amp;CardChoice'!$B$14,'Pass&amp;CardChoice'!$B$15)),D38,0),0))</f>
        <v>0</v>
      </c>
      <c r="G38" s="9"/>
      <c r="H38" s="1">
        <f>CHOOSE('Rental type'!A6,'Ticket Prices'!$C$20,'Ticket Prices'!$C$29,0)</f>
        <v>0</v>
      </c>
      <c r="I38" s="1">
        <f t="shared" si="4"/>
        <v>0</v>
      </c>
      <c r="J38" s="1">
        <f t="shared" si="7"/>
        <v>0</v>
      </c>
      <c r="K38" s="4">
        <f t="shared" si="8"/>
        <v>0</v>
      </c>
    </row>
    <row r="39" spans="2:11" ht="12.75">
      <c r="B39" t="s">
        <v>39</v>
      </c>
      <c r="C39" s="56"/>
      <c r="D39" s="4">
        <f>D38</f>
        <v>55</v>
      </c>
      <c r="E39" s="4">
        <f t="shared" si="3"/>
        <v>33</v>
      </c>
      <c r="F39" s="4">
        <f>IF('Pass&amp;CardChoice'!$B$39,D39-E39,IF('Pass&amp;CardChoice'!$B$40,IF(NOT(OR('Pass&amp;CardChoice'!$B$12,'Pass&amp;CardChoice'!$B$13,'Pass&amp;CardChoice'!$B$14,'Pass&amp;CardChoice'!$B$15)),D39,0),0))</f>
        <v>0</v>
      </c>
      <c r="G39" s="9"/>
      <c r="H39" s="1">
        <f>CHOOSE('Rental type'!A7,'Ticket Prices'!$C$20,'Ticket Prices'!$C$29,0)</f>
        <v>0</v>
      </c>
      <c r="I39" s="1">
        <f t="shared" si="4"/>
        <v>0</v>
      </c>
      <c r="J39" s="1">
        <f>H39-I39</f>
        <v>0</v>
      </c>
      <c r="K39" s="4">
        <f t="shared" si="8"/>
        <v>0</v>
      </c>
    </row>
    <row r="40" spans="2:11" ht="12.75">
      <c r="B40" t="s">
        <v>40</v>
      </c>
      <c r="C40" s="56"/>
      <c r="D40" s="4">
        <f>D39</f>
        <v>55</v>
      </c>
      <c r="E40" s="4">
        <f t="shared" si="3"/>
        <v>33</v>
      </c>
      <c r="F40" s="4">
        <f>IF('Pass&amp;CardChoice'!$B$39,D40-E40,IF('Pass&amp;CardChoice'!$B$40,IF(NOT(OR('Pass&amp;CardChoice'!$B$12,'Pass&amp;CardChoice'!$B$13,'Pass&amp;CardChoice'!$B$14,'Pass&amp;CardChoice'!$B$15)),D40,0),0))</f>
        <v>0</v>
      </c>
      <c r="G40" s="9"/>
      <c r="H40" s="1">
        <f>CHOOSE('Rental type'!A8,'Ticket Prices'!$C$20,'Ticket Prices'!$C$29,0)</f>
        <v>0</v>
      </c>
      <c r="I40" s="1">
        <f t="shared" si="4"/>
        <v>0</v>
      </c>
      <c r="J40" s="1">
        <f>H40-I40</f>
        <v>0</v>
      </c>
      <c r="K40" s="4">
        <f t="shared" si="8"/>
        <v>0</v>
      </c>
    </row>
    <row r="41" spans="2:11" ht="12.75">
      <c r="B41" t="s">
        <v>27</v>
      </c>
      <c r="C41" s="56"/>
      <c r="D41" s="4">
        <f>'Ticket Prices'!C9</f>
        <v>47</v>
      </c>
      <c r="E41" s="4">
        <f t="shared" si="3"/>
        <v>28.2</v>
      </c>
      <c r="F41" s="4">
        <f>IF('Pass&amp;CardChoice'!$B$39,D41-E41,IF('Pass&amp;CardChoice'!$B$40,IF(NOT(OR('Pass&amp;CardChoice'!$B$12,'Pass&amp;CardChoice'!$B$13,'Pass&amp;CardChoice'!$B$14,'Pass&amp;CardChoice'!$B$15)),D41,0),0))</f>
        <v>0</v>
      </c>
      <c r="G41" s="9"/>
      <c r="H41" s="1">
        <f>CHOOSE('Rental type'!A9,'Ticket Prices'!$C$20,'Ticket Prices'!$C$29,0)</f>
        <v>0</v>
      </c>
      <c r="I41" s="1">
        <f t="shared" si="4"/>
        <v>0</v>
      </c>
      <c r="J41" s="1">
        <f t="shared" si="7"/>
        <v>0</v>
      </c>
      <c r="K41" s="4">
        <f t="shared" si="8"/>
        <v>0</v>
      </c>
    </row>
    <row r="42" spans="2:11" ht="12.75">
      <c r="B42" t="s">
        <v>28</v>
      </c>
      <c r="C42" s="56"/>
      <c r="D42" s="4">
        <f>D41</f>
        <v>47</v>
      </c>
      <c r="E42" s="4">
        <f t="shared" si="3"/>
        <v>28.2</v>
      </c>
      <c r="F42" s="4">
        <f>IF('Pass&amp;CardChoice'!$B$39,D42-E42,IF('Pass&amp;CardChoice'!$B$40,IF(NOT(OR('Pass&amp;CardChoice'!$B$12,'Pass&amp;CardChoice'!$B$13,'Pass&amp;CardChoice'!$B$14,'Pass&amp;CardChoice'!$B$15)),D42,0),0))</f>
        <v>0</v>
      </c>
      <c r="G42" s="9"/>
      <c r="H42" s="1">
        <f>CHOOSE('Rental type'!A10,'Ticket Prices'!$C$20,'Ticket Prices'!$C$29,0)</f>
        <v>0</v>
      </c>
      <c r="I42" s="1">
        <f t="shared" si="4"/>
        <v>0</v>
      </c>
      <c r="J42" s="1">
        <f t="shared" si="7"/>
        <v>0</v>
      </c>
      <c r="K42" s="4">
        <f t="shared" si="8"/>
        <v>0</v>
      </c>
    </row>
    <row r="43" spans="2:11" ht="12.75">
      <c r="B43" t="s">
        <v>29</v>
      </c>
      <c r="C43" s="56"/>
      <c r="D43" s="4">
        <f>D42</f>
        <v>47</v>
      </c>
      <c r="E43" s="4">
        <f t="shared" si="3"/>
        <v>28.2</v>
      </c>
      <c r="F43" s="4">
        <f>IF('Pass&amp;CardChoice'!$B$39,D43-E43,IF('Pass&amp;CardChoice'!$B$40,IF(NOT(OR('Pass&amp;CardChoice'!$B$12,'Pass&amp;CardChoice'!$B$13,'Pass&amp;CardChoice'!$B$14,'Pass&amp;CardChoice'!$B$15)),D43,0),0))</f>
        <v>0</v>
      </c>
      <c r="G43" s="9"/>
      <c r="H43" s="1">
        <f>CHOOSE('Rental type'!A11,'Ticket Prices'!$C$20,'Ticket Prices'!$C$29,0)</f>
        <v>0</v>
      </c>
      <c r="I43" s="1">
        <f t="shared" si="4"/>
        <v>0</v>
      </c>
      <c r="J43" s="1">
        <f t="shared" si="7"/>
        <v>0</v>
      </c>
      <c r="K43" s="4">
        <f t="shared" si="8"/>
        <v>0</v>
      </c>
    </row>
    <row r="44" spans="2:11" ht="12.75">
      <c r="B44" t="s">
        <v>137</v>
      </c>
      <c r="C44" s="56"/>
      <c r="D44" s="4">
        <f>D37</f>
        <v>55</v>
      </c>
      <c r="E44" s="4">
        <f t="shared" si="3"/>
        <v>33</v>
      </c>
      <c r="F44" s="4">
        <f>IF('Pass&amp;CardChoice'!$B$39,D44-E44,IF('Pass&amp;CardChoice'!$B$40,IF(NOT(OR('Pass&amp;CardChoice'!$B$12,'Pass&amp;CardChoice'!$B$13,'Pass&amp;CardChoice'!$B$14,'Pass&amp;CardChoice'!$B$15)),D44,0),0))</f>
        <v>0</v>
      </c>
      <c r="G44" s="9"/>
      <c r="H44" s="1">
        <f>CHOOSE('Rental type'!A12,'Ticket Prices'!$C$20,'Ticket Prices'!$C$29,0)</f>
        <v>0</v>
      </c>
      <c r="I44" s="1">
        <f t="shared" si="4"/>
        <v>0</v>
      </c>
      <c r="J44" s="1">
        <f>H44-I44</f>
        <v>0</v>
      </c>
      <c r="K44" s="4">
        <f>(C44*F44)+(G44*D44)+(C44*J44)+(G44*H44)</f>
        <v>0</v>
      </c>
    </row>
    <row r="45" spans="2:11" ht="12.75">
      <c r="B45" t="s">
        <v>123</v>
      </c>
      <c r="C45" s="56"/>
      <c r="D45" s="4">
        <f>D37</f>
        <v>55</v>
      </c>
      <c r="E45" s="4">
        <f t="shared" si="3"/>
        <v>33</v>
      </c>
      <c r="F45" s="4">
        <f>IF('Pass&amp;CardChoice'!$B$7,D45-E45,0)</f>
        <v>0</v>
      </c>
      <c r="G45" s="31"/>
      <c r="H45" s="31"/>
      <c r="I45" s="31"/>
      <c r="J45" s="31"/>
      <c r="K45" s="4">
        <f>F45</f>
        <v>0</v>
      </c>
    </row>
    <row r="46" spans="2:11" ht="12.75">
      <c r="B46" t="s">
        <v>124</v>
      </c>
      <c r="C46" s="56"/>
      <c r="D46" s="4">
        <f>D41</f>
        <v>47</v>
      </c>
      <c r="E46" s="4">
        <f t="shared" si="3"/>
        <v>28.2</v>
      </c>
      <c r="F46" s="4">
        <f>IF('Pass&amp;CardChoice'!$B$7,D46-E46,0)</f>
        <v>0</v>
      </c>
      <c r="G46" s="31"/>
      <c r="H46" s="31"/>
      <c r="I46" s="31"/>
      <c r="J46" s="31"/>
      <c r="K46" s="4">
        <f>F46</f>
        <v>0</v>
      </c>
    </row>
    <row r="47" spans="1:11" ht="12.75">
      <c r="A47" t="s">
        <v>7</v>
      </c>
      <c r="D47" s="4"/>
      <c r="E47" s="4"/>
      <c r="K47" s="4"/>
    </row>
    <row r="48" spans="2:11" ht="12.75">
      <c r="B48" t="s">
        <v>25</v>
      </c>
      <c r="C48" s="56"/>
      <c r="D48" s="4">
        <f>'Ticket Prices'!B4</f>
        <v>38</v>
      </c>
      <c r="E48" s="4">
        <f t="shared" si="3"/>
        <v>22.8</v>
      </c>
      <c r="F48" s="4">
        <f>IF('Pass&amp;CardChoice'!$B$41,D48,IF('Pass&amp;CardChoice'!$B$39,D48-E48,IF('Pass&amp;CardChoice'!$B$40,IF(NOT(OR('Pass&amp;CardChoice'!$B$12,'Pass&amp;CardChoice'!$B$13,'Pass&amp;CardChoice'!$B$14)),D48,0),0)))</f>
        <v>0</v>
      </c>
      <c r="G48" s="9"/>
      <c r="H48" s="1">
        <f>IF('Pass&amp;CardChoice'!$B$25,'Ticket Prices'!B19,IF('Pass&amp;CardChoice'!$B$26,'Ticket Prices'!$B$28,CHOOSE('Rental type'!A5,'Ticket Prices'!$B$19,'Ticket Prices'!$B$28,0)))</f>
        <v>0</v>
      </c>
      <c r="I48" s="1">
        <f t="shared" si="4"/>
        <v>0</v>
      </c>
      <c r="J48" s="1">
        <f>IF(OR('Pass&amp;CardChoice'!$B$25,'Pass&amp;CardChoice'!$B$26),H48,H48-I48)</f>
        <v>0</v>
      </c>
      <c r="K48" s="4">
        <f aca="true" t="shared" si="9" ref="K48:K54">(C48*F48)+(G48*D48)+(C48*J48)+(G48*H48)</f>
        <v>0</v>
      </c>
    </row>
    <row r="49" spans="2:11" ht="12.75">
      <c r="B49" t="s">
        <v>26</v>
      </c>
      <c r="C49" s="56"/>
      <c r="D49" s="4">
        <f>D48</f>
        <v>38</v>
      </c>
      <c r="E49" s="4">
        <f t="shared" si="3"/>
        <v>22.8</v>
      </c>
      <c r="F49" s="4">
        <f>IF('Pass&amp;CardChoice'!$B$39,D49-E49,IF('Pass&amp;CardChoice'!$B$40,IF(NOT(OR('Pass&amp;CardChoice'!$B$12,'Pass&amp;CardChoice'!$B$13,'Pass&amp;CardChoice'!$B$14)),D49,0),0))</f>
        <v>0</v>
      </c>
      <c r="G49" s="9"/>
      <c r="H49" s="1">
        <f>IF('Pass&amp;CardChoice'!$B$25,'Ticket Prices'!B20,IF('Pass&amp;CardChoice'!$B$26,'Ticket Prices'!$B$28,CHOOSE('Rental type'!A6,'Ticket Prices'!$B$19,'Ticket Prices'!$B$28,0)))</f>
        <v>0</v>
      </c>
      <c r="I49" s="1">
        <f t="shared" si="4"/>
        <v>0</v>
      </c>
      <c r="J49" s="1">
        <f aca="true" t="shared" si="10" ref="J49:J54">H49-I49</f>
        <v>0</v>
      </c>
      <c r="K49" s="4">
        <f t="shared" si="9"/>
        <v>0</v>
      </c>
    </row>
    <row r="50" spans="2:11" ht="12.75">
      <c r="B50" t="s">
        <v>39</v>
      </c>
      <c r="C50" s="56"/>
      <c r="D50" s="4">
        <f>D49</f>
        <v>38</v>
      </c>
      <c r="E50" s="4">
        <f t="shared" si="3"/>
        <v>22.8</v>
      </c>
      <c r="F50" s="4">
        <f>IF('Pass&amp;CardChoice'!$B$39,D50-E50,IF('Pass&amp;CardChoice'!$B$40,IF(NOT(OR('Pass&amp;CardChoice'!$B$12,'Pass&amp;CardChoice'!$B$13,'Pass&amp;CardChoice'!$B$14)),D50,0),0))</f>
        <v>0</v>
      </c>
      <c r="G50" s="9"/>
      <c r="H50" s="1">
        <f>IF('Pass&amp;CardChoice'!$B$25,'Ticket Prices'!B21,IF('Pass&amp;CardChoice'!$B$26,'Ticket Prices'!$B$28,CHOOSE('Rental type'!A7,'Ticket Prices'!$B$19,'Ticket Prices'!$B$28,0)))</f>
        <v>0</v>
      </c>
      <c r="I50" s="1">
        <f t="shared" si="4"/>
        <v>0</v>
      </c>
      <c r="J50" s="1">
        <f>H50-I50</f>
        <v>0</v>
      </c>
      <c r="K50" s="4">
        <f t="shared" si="9"/>
        <v>0</v>
      </c>
    </row>
    <row r="51" spans="2:11" ht="12.75">
      <c r="B51" t="s">
        <v>40</v>
      </c>
      <c r="C51" s="56"/>
      <c r="D51" s="4">
        <f>D50</f>
        <v>38</v>
      </c>
      <c r="E51" s="4">
        <f t="shared" si="3"/>
        <v>22.8</v>
      </c>
      <c r="F51" s="4">
        <f>IF('Pass&amp;CardChoice'!$B$39,D51-E51,IF('Pass&amp;CardChoice'!$B$40,IF(NOT(OR('Pass&amp;CardChoice'!$B$12,'Pass&amp;CardChoice'!$B$13,'Pass&amp;CardChoice'!$B$14)),D51,0),0))</f>
        <v>0</v>
      </c>
      <c r="G51" s="9"/>
      <c r="H51" s="1">
        <f>IF('Pass&amp;CardChoice'!$B$25,'Ticket Prices'!B22,IF('Pass&amp;CardChoice'!$B$26,'Ticket Prices'!$B$28,CHOOSE('Rental type'!A8,'Ticket Prices'!$B$19,'Ticket Prices'!$B$28,0)))</f>
        <v>0</v>
      </c>
      <c r="I51" s="1">
        <f t="shared" si="4"/>
        <v>0</v>
      </c>
      <c r="J51" s="1">
        <f>H51-I51</f>
        <v>0</v>
      </c>
      <c r="K51" s="4">
        <f t="shared" si="9"/>
        <v>0</v>
      </c>
    </row>
    <row r="52" spans="2:11" ht="12.75">
      <c r="B52" t="s">
        <v>27</v>
      </c>
      <c r="C52" s="56"/>
      <c r="D52" s="4">
        <f>'Ticket Prices'!B8</f>
        <v>32</v>
      </c>
      <c r="E52" s="4">
        <f>0.6*D52</f>
        <v>19.2</v>
      </c>
      <c r="F52" s="4">
        <f>IF('Pass&amp;CardChoice'!$B$41,D52,IF('Pass&amp;CardChoice'!$B$39,D52-E52,IF('Pass&amp;CardChoice'!$B$40,IF(NOT(OR('Pass&amp;CardChoice'!$B$12,'Pass&amp;CardChoice'!$B$13,'Pass&amp;CardChoice'!$B$14)),D52,0),0)))</f>
        <v>0</v>
      </c>
      <c r="G52" s="9"/>
      <c r="H52" s="1">
        <f>IF('Pass&amp;CardChoice'!$B$25,'Ticket Prices'!B23,IF('Pass&amp;CardChoice'!$B$26,'Ticket Prices'!$B$28,CHOOSE('Rental type'!A9,'Ticket Prices'!$B$19,'Ticket Prices'!$B$28,0)))</f>
        <v>0</v>
      </c>
      <c r="I52" s="1">
        <f>0.6*H52</f>
        <v>0</v>
      </c>
      <c r="J52" s="1">
        <f>IF(OR('Pass&amp;CardChoice'!$B$25,'Pass&amp;CardChoice'!$B$26),H52,H52-I52)</f>
        <v>0</v>
      </c>
      <c r="K52" s="4">
        <f t="shared" si="9"/>
        <v>0</v>
      </c>
    </row>
    <row r="53" spans="2:11" ht="12.75">
      <c r="B53" t="s">
        <v>28</v>
      </c>
      <c r="C53" s="56"/>
      <c r="D53" s="4">
        <f>D52</f>
        <v>32</v>
      </c>
      <c r="E53" s="4">
        <f>0.6*D53</f>
        <v>19.2</v>
      </c>
      <c r="F53" s="4">
        <f>IF('Pass&amp;CardChoice'!$B$39,D53-E53,IF('Pass&amp;CardChoice'!$B$40,IF(NOT(OR('Pass&amp;CardChoice'!$B$12,'Pass&amp;CardChoice'!$B$13,'Pass&amp;CardChoice'!$B$14)),D53,0),0))</f>
        <v>0</v>
      </c>
      <c r="G53" s="9"/>
      <c r="H53" s="1">
        <f>IF('Pass&amp;CardChoice'!$B$25,'Ticket Prices'!B24,IF('Pass&amp;CardChoice'!$B$26,'Ticket Prices'!$B$28,CHOOSE('Rental type'!A10,'Ticket Prices'!$B$19,'Ticket Prices'!$B$28,0)))</f>
        <v>0</v>
      </c>
      <c r="I53" s="1">
        <f>0.6*H53</f>
        <v>0</v>
      </c>
      <c r="J53" s="1">
        <f t="shared" si="10"/>
        <v>0</v>
      </c>
      <c r="K53" s="4">
        <f t="shared" si="9"/>
        <v>0</v>
      </c>
    </row>
    <row r="54" spans="2:11" ht="12.75">
      <c r="B54" t="s">
        <v>29</v>
      </c>
      <c r="C54" s="56"/>
      <c r="D54" s="4">
        <f>D53</f>
        <v>32</v>
      </c>
      <c r="E54" s="4">
        <f>0.6*D54</f>
        <v>19.2</v>
      </c>
      <c r="F54" s="4">
        <f>IF('Pass&amp;CardChoice'!$B$39,D54-E54,IF('Pass&amp;CardChoice'!$B$40,IF(NOT(OR('Pass&amp;CardChoice'!$B$12,'Pass&amp;CardChoice'!$B$13,'Pass&amp;CardChoice'!$B$14)),D54,0),0))</f>
        <v>0</v>
      </c>
      <c r="G54" s="9"/>
      <c r="H54" s="1">
        <f>IF('Pass&amp;CardChoice'!$B$25,'Ticket Prices'!B25,IF('Pass&amp;CardChoice'!$B$26,'Ticket Prices'!$B$28,CHOOSE('Rental type'!A11,'Ticket Prices'!$B$19,'Ticket Prices'!$B$28,0)))</f>
        <v>0</v>
      </c>
      <c r="I54" s="1">
        <f>0.6*H54</f>
        <v>0</v>
      </c>
      <c r="J54" s="1">
        <f t="shared" si="10"/>
        <v>0</v>
      </c>
      <c r="K54" s="4">
        <f t="shared" si="9"/>
        <v>0</v>
      </c>
    </row>
    <row r="55" spans="2:11" ht="12.75">
      <c r="B55" t="s">
        <v>137</v>
      </c>
      <c r="C55" s="56"/>
      <c r="D55" s="4">
        <f>D51/2</f>
        <v>19</v>
      </c>
      <c r="E55" s="4">
        <f>D55</f>
        <v>19</v>
      </c>
      <c r="F55" s="4">
        <f>IF('Pass&amp;CardChoice'!$B$41,D55,IF('Pass&amp;CardChoice'!$B$39,D55-E55,IF('Pass&amp;CardChoice'!$B$40,IF(NOT(OR('Pass&amp;CardChoice'!$B$12,'Pass&amp;CardChoice'!$B$13,'Pass&amp;CardChoice'!$B$14)),D55,0),0)))</f>
        <v>0</v>
      </c>
      <c r="G55" s="9"/>
      <c r="H55" s="1">
        <f>IF('Pass&amp;CardChoice'!$B$25,'Ticket Prices'!B26,IF('Pass&amp;CardChoice'!$B$26,'Ticket Prices'!$B$28,CHOOSE('Rental type'!A12,'Ticket Prices'!$B$19,'Ticket Prices'!$B$28,0)))</f>
        <v>0</v>
      </c>
      <c r="I55" s="1">
        <f>0.6*H55</f>
        <v>0</v>
      </c>
      <c r="J55" s="1">
        <f>IF(OR('Pass&amp;CardChoice'!$B$25,'Pass&amp;CardChoice'!$B$26),H55,H55-I55)</f>
        <v>0</v>
      </c>
      <c r="K55" s="4">
        <f>(C55*F55)+(G55*D55)+(C55*J55)+(G55*H55)</f>
        <v>0</v>
      </c>
    </row>
    <row r="56" spans="2:11" ht="12.75">
      <c r="B56" t="s">
        <v>123</v>
      </c>
      <c r="C56" s="56"/>
      <c r="D56" s="4">
        <f>D48</f>
        <v>38</v>
      </c>
      <c r="E56" s="4">
        <f t="shared" si="3"/>
        <v>22.8</v>
      </c>
      <c r="F56" s="4">
        <f>IF('Pass&amp;CardChoice'!$B$7,D56-E56,0)</f>
        <v>0</v>
      </c>
      <c r="G56" s="31"/>
      <c r="H56" s="31"/>
      <c r="I56" s="31"/>
      <c r="J56" s="31"/>
      <c r="K56" s="4">
        <v>0</v>
      </c>
    </row>
    <row r="57" spans="2:11" ht="12.75">
      <c r="B57" t="s">
        <v>124</v>
      </c>
      <c r="C57" s="56"/>
      <c r="D57" s="4">
        <f>D52</f>
        <v>32</v>
      </c>
      <c r="E57" s="4">
        <f t="shared" si="3"/>
        <v>19.2</v>
      </c>
      <c r="F57" s="4">
        <f>IF('Pass&amp;CardChoice'!$B$7,D57-E57,0)</f>
        <v>0</v>
      </c>
      <c r="G57" s="31"/>
      <c r="H57" s="31"/>
      <c r="I57" s="31"/>
      <c r="J57" s="31"/>
      <c r="K57" s="4">
        <v>0</v>
      </c>
    </row>
    <row r="58" ht="12.75">
      <c r="A58" t="s">
        <v>12</v>
      </c>
    </row>
    <row r="59" spans="2:11" ht="12.75">
      <c r="B59" t="s">
        <v>25</v>
      </c>
      <c r="C59" s="56"/>
      <c r="D59" s="4">
        <f>'Ticket Prices'!B7</f>
        <v>55</v>
      </c>
      <c r="E59" s="4">
        <f>0.6*D59</f>
        <v>33</v>
      </c>
      <c r="F59" s="4">
        <f>IF('Pass&amp;CardChoice'!$B$39,D59-E59,IF('Pass&amp;CardChoice'!$B$40,IF(NOT(OR('Pass&amp;CardChoice'!$B$13,'Pass&amp;CardChoice'!$B$14,'Pass&amp;CardChoice'!$B$15)),D59,0),0))</f>
        <v>0</v>
      </c>
      <c r="G59" s="9"/>
      <c r="H59" s="1">
        <f>CHOOSE('Rental type'!A5,'Ticket Prices'!$B$22,'Ticket Prices'!$B$31,0)</f>
        <v>0</v>
      </c>
      <c r="I59" s="1">
        <f aca="true" t="shared" si="11" ref="I59:I66">0.6*H59</f>
        <v>0</v>
      </c>
      <c r="J59" s="1">
        <f>(H59-I59)</f>
        <v>0</v>
      </c>
      <c r="K59" s="4">
        <f>(C59*F59)+(G59*D59)+(C59*J59)+(G59*H59)</f>
        <v>0</v>
      </c>
    </row>
    <row r="60" spans="2:11" ht="12.75">
      <c r="B60" t="s">
        <v>26</v>
      </c>
      <c r="C60" s="56"/>
      <c r="D60" s="4">
        <f>D59</f>
        <v>55</v>
      </c>
      <c r="E60" s="4">
        <f>0.6*D60</f>
        <v>33</v>
      </c>
      <c r="F60" s="4">
        <f>IF('Pass&amp;CardChoice'!$B$39,D60-E60,IF('Pass&amp;CardChoice'!$B$40,IF(NOT(OR('Pass&amp;CardChoice'!$B$13,'Pass&amp;CardChoice'!$B$14,'Pass&amp;CardChoice'!$B$15)),D60,0),0))</f>
        <v>0</v>
      </c>
      <c r="G60" s="9"/>
      <c r="H60" s="1">
        <f>CHOOSE('Rental type'!A6,'Ticket Prices'!$B$22,'Ticket Prices'!$B$31,0)</f>
        <v>0</v>
      </c>
      <c r="I60" s="1">
        <f t="shared" si="11"/>
        <v>0</v>
      </c>
      <c r="J60" s="1">
        <f aca="true" t="shared" si="12" ref="J60:J66">H60-I60</f>
        <v>0</v>
      </c>
      <c r="K60" s="4">
        <f aca="true" t="shared" si="13" ref="K60:K65">(C60*F60)+(G60*D60)+(C60*J60)+(G60*H60)</f>
        <v>0</v>
      </c>
    </row>
    <row r="61" spans="2:11" ht="12.75">
      <c r="B61" t="s">
        <v>39</v>
      </c>
      <c r="C61" s="56"/>
      <c r="D61" s="4">
        <f>D60</f>
        <v>55</v>
      </c>
      <c r="E61" s="4">
        <f>0.6*D61</f>
        <v>33</v>
      </c>
      <c r="F61" s="4">
        <f>IF('Pass&amp;CardChoice'!$B$39,D61-E61,IF('Pass&amp;CardChoice'!$B$40,IF(NOT(OR('Pass&amp;CardChoice'!$B$13,'Pass&amp;CardChoice'!$B$14,'Pass&amp;CardChoice'!$B$15)),D61,0),0))</f>
        <v>0</v>
      </c>
      <c r="G61" s="9"/>
      <c r="H61" s="1">
        <f>CHOOSE('Rental type'!A7,'Ticket Prices'!$B$22,'Ticket Prices'!$B$31,0)</f>
        <v>0</v>
      </c>
      <c r="I61" s="1">
        <f t="shared" si="11"/>
        <v>0</v>
      </c>
      <c r="J61" s="1">
        <f t="shared" si="12"/>
        <v>0</v>
      </c>
      <c r="K61" s="4">
        <f t="shared" si="13"/>
        <v>0</v>
      </c>
    </row>
    <row r="62" spans="2:11" ht="12.75">
      <c r="B62" t="s">
        <v>40</v>
      </c>
      <c r="C62" s="56"/>
      <c r="D62" s="4">
        <f>D61</f>
        <v>55</v>
      </c>
      <c r="E62" s="4">
        <f>0.6*D62</f>
        <v>33</v>
      </c>
      <c r="F62" s="4">
        <f>IF('Pass&amp;CardChoice'!$B$39,D62-E62,IF('Pass&amp;CardChoice'!$B$40,IF(NOT(OR('Pass&amp;CardChoice'!$B$13,'Pass&amp;CardChoice'!$B$14,'Pass&amp;CardChoice'!$B$15)),D62,0),0))</f>
        <v>0</v>
      </c>
      <c r="G62" s="9"/>
      <c r="H62" s="1">
        <f>CHOOSE('Rental type'!A8,'Ticket Prices'!$B$22,'Ticket Prices'!$B$31,0)</f>
        <v>0</v>
      </c>
      <c r="I62" s="1">
        <f t="shared" si="11"/>
        <v>0</v>
      </c>
      <c r="J62" s="1">
        <f t="shared" si="12"/>
        <v>0</v>
      </c>
      <c r="K62" s="4">
        <f t="shared" si="13"/>
        <v>0</v>
      </c>
    </row>
    <row r="63" spans="2:11" ht="12.75">
      <c r="B63" t="s">
        <v>27</v>
      </c>
      <c r="C63" s="56"/>
      <c r="D63" s="4">
        <f>'Ticket Prices'!B11</f>
        <v>48</v>
      </c>
      <c r="E63" s="4">
        <f t="shared" si="3"/>
        <v>28.799999999999997</v>
      </c>
      <c r="F63" s="4">
        <f>IF('Pass&amp;CardChoice'!$B$39,D63-E63,IF('Pass&amp;CardChoice'!$B$40,IF(NOT(OR('Pass&amp;CardChoice'!$B$13,'Pass&amp;CardChoice'!$B$14,'Pass&amp;CardChoice'!$B$15)),D63,0),0))</f>
        <v>0</v>
      </c>
      <c r="G63" s="9"/>
      <c r="H63" s="1">
        <f>CHOOSE('Rental type'!A9,'Ticket Prices'!$B$22,'Ticket Prices'!$B$31,0)</f>
        <v>0</v>
      </c>
      <c r="I63" s="1">
        <f t="shared" si="11"/>
        <v>0</v>
      </c>
      <c r="J63" s="1">
        <f t="shared" si="12"/>
        <v>0</v>
      </c>
      <c r="K63" s="4">
        <f t="shared" si="13"/>
        <v>0</v>
      </c>
    </row>
    <row r="64" spans="2:11" ht="12.75">
      <c r="B64" t="s">
        <v>28</v>
      </c>
      <c r="C64" s="56"/>
      <c r="D64" s="4">
        <f>D63</f>
        <v>48</v>
      </c>
      <c r="E64" s="4">
        <f t="shared" si="3"/>
        <v>28.799999999999997</v>
      </c>
      <c r="F64" s="4">
        <f>IF('Pass&amp;CardChoice'!$B$39,D64-E64,IF('Pass&amp;CardChoice'!$B$40,IF(NOT(OR('Pass&amp;CardChoice'!$B$13,'Pass&amp;CardChoice'!$B$14,'Pass&amp;CardChoice'!$B$15)),D64,0),0))</f>
        <v>0</v>
      </c>
      <c r="G64" s="9"/>
      <c r="H64" s="1">
        <f>CHOOSE('Rental type'!A10,'Ticket Prices'!$B$22,'Ticket Prices'!$B$31,0)</f>
        <v>0</v>
      </c>
      <c r="I64" s="1">
        <f t="shared" si="11"/>
        <v>0</v>
      </c>
      <c r="J64" s="1">
        <f t="shared" si="12"/>
        <v>0</v>
      </c>
      <c r="K64" s="4">
        <f t="shared" si="13"/>
        <v>0</v>
      </c>
    </row>
    <row r="65" spans="2:11" ht="12.75">
      <c r="B65" t="s">
        <v>29</v>
      </c>
      <c r="C65" s="56"/>
      <c r="D65" s="4">
        <f>D64</f>
        <v>48</v>
      </c>
      <c r="E65" s="4">
        <f t="shared" si="3"/>
        <v>28.799999999999997</v>
      </c>
      <c r="F65" s="4">
        <f>IF('Pass&amp;CardChoice'!$B$39,D65-E65,IF('Pass&amp;CardChoice'!$B$40,IF(NOT(OR('Pass&amp;CardChoice'!$B$13,'Pass&amp;CardChoice'!$B$14,'Pass&amp;CardChoice'!$B$15)),D65,0),0))</f>
        <v>0</v>
      </c>
      <c r="G65" s="9"/>
      <c r="H65" s="1">
        <f>CHOOSE('Rental type'!A11,'Ticket Prices'!$B$22,'Ticket Prices'!$B$31,0)</f>
        <v>0</v>
      </c>
      <c r="I65" s="1">
        <f t="shared" si="11"/>
        <v>0</v>
      </c>
      <c r="J65" s="1">
        <f t="shared" si="12"/>
        <v>0</v>
      </c>
      <c r="K65" s="4">
        <f t="shared" si="13"/>
        <v>0</v>
      </c>
    </row>
    <row r="66" spans="2:11" ht="12.75">
      <c r="B66" t="s">
        <v>137</v>
      </c>
      <c r="C66" s="56"/>
      <c r="D66" s="4">
        <f>D62/2</f>
        <v>27.5</v>
      </c>
      <c r="E66" s="4">
        <f>D66</f>
        <v>27.5</v>
      </c>
      <c r="F66" s="4">
        <f>IF('Pass&amp;CardChoice'!$B$39,D66-E66,IF('Pass&amp;CardChoice'!$B$40,IF(NOT(OR('Pass&amp;CardChoice'!$B$14,'Pass&amp;CardChoice'!$B$15)),D66,0),0))</f>
        <v>0</v>
      </c>
      <c r="G66" s="9"/>
      <c r="H66" s="1">
        <f>CHOOSE('Rental type'!A12,'Ticket Prices'!$B$22,'Ticket Prices'!$B$31,0)</f>
        <v>0</v>
      </c>
      <c r="I66" s="1">
        <f t="shared" si="11"/>
        <v>0</v>
      </c>
      <c r="J66" s="1">
        <f t="shared" si="12"/>
        <v>0</v>
      </c>
      <c r="K66" s="4">
        <f>(C66*F66)+(G66*D66)+(C66*J66)+(G66*H66)</f>
        <v>0</v>
      </c>
    </row>
    <row r="67" spans="2:11" ht="12.75">
      <c r="B67" t="s">
        <v>123</v>
      </c>
      <c r="C67" s="56"/>
      <c r="D67" s="4">
        <f>D59</f>
        <v>55</v>
      </c>
      <c r="E67" s="4">
        <f t="shared" si="3"/>
        <v>33</v>
      </c>
      <c r="F67" s="4">
        <f>IF('Pass&amp;CardChoice'!$B$7,D67-E67,0)</f>
        <v>0</v>
      </c>
      <c r="G67" s="31"/>
      <c r="H67" s="31"/>
      <c r="I67" s="31"/>
      <c r="J67" s="31"/>
      <c r="K67" s="4">
        <v>0</v>
      </c>
    </row>
    <row r="68" spans="2:11" ht="12.75">
      <c r="B68" t="s">
        <v>124</v>
      </c>
      <c r="C68" s="56"/>
      <c r="D68" s="4">
        <f>D63</f>
        <v>48</v>
      </c>
      <c r="E68" s="4">
        <f t="shared" si="3"/>
        <v>28.799999999999997</v>
      </c>
      <c r="F68" s="4">
        <f>IF('Pass&amp;CardChoice'!$B$7,D68-E68,0)</f>
        <v>0</v>
      </c>
      <c r="G68" s="31"/>
      <c r="H68" s="31"/>
      <c r="I68" s="31"/>
      <c r="J68" s="31"/>
      <c r="K68" s="4">
        <v>0</v>
      </c>
    </row>
    <row r="69" spans="1:11" ht="12.75">
      <c r="A69" t="s">
        <v>5</v>
      </c>
      <c r="D69" s="4"/>
      <c r="E69" s="4"/>
      <c r="K69" s="4"/>
    </row>
    <row r="70" spans="2:11" ht="12.75">
      <c r="B70" t="s">
        <v>25</v>
      </c>
      <c r="C70" s="56"/>
      <c r="D70" s="4">
        <f>'Ticket Prices'!B6</f>
        <v>49</v>
      </c>
      <c r="E70" s="4">
        <f t="shared" si="3"/>
        <v>29.4</v>
      </c>
      <c r="F70" s="4">
        <f>IF('Pass&amp;CardChoice'!$B$39,D70-E70,IF('Pass&amp;CardChoice'!$B$40,IF(NOT(OR('Pass&amp;CardChoice'!$B$13,'Pass&amp;CardChoice'!$B$14,'Pass&amp;CardChoice'!$B$15)),D70,0),0))</f>
        <v>0</v>
      </c>
      <c r="G70" s="9"/>
      <c r="H70" s="1">
        <f>CHOOSE('Rental type'!A5,'Ticket Prices'!$B$21,'Ticket Prices'!$B$30,0)</f>
        <v>0</v>
      </c>
      <c r="I70" s="1">
        <f aca="true" t="shared" si="14" ref="I70:I88">0.6*H70</f>
        <v>0</v>
      </c>
      <c r="J70" s="1">
        <f aca="true" t="shared" si="15" ref="J70:J76">H70-I70</f>
        <v>0</v>
      </c>
      <c r="K70" s="4">
        <f aca="true" t="shared" si="16" ref="K70:K76">(C70*F70)+(G70*D70)+(C70*J70)+(G70*H70)</f>
        <v>0</v>
      </c>
    </row>
    <row r="71" spans="2:11" ht="12.75">
      <c r="B71" t="s">
        <v>26</v>
      </c>
      <c r="C71" s="56"/>
      <c r="D71" s="4">
        <f>D70</f>
        <v>49</v>
      </c>
      <c r="E71" s="4">
        <f t="shared" si="3"/>
        <v>29.4</v>
      </c>
      <c r="F71" s="4">
        <f>IF('Pass&amp;CardChoice'!$B$39,D71-E71,IF('Pass&amp;CardChoice'!$B$40,IF(NOT(OR('Pass&amp;CardChoice'!$B$13,'Pass&amp;CardChoice'!$B$14,'Pass&amp;CardChoice'!$B$15)),D71,0),0))</f>
        <v>0</v>
      </c>
      <c r="G71" s="9"/>
      <c r="H71" s="1">
        <f>CHOOSE('Rental type'!A6,'Ticket Prices'!$B$21,'Ticket Prices'!$B$30,0)</f>
        <v>0</v>
      </c>
      <c r="I71" s="1">
        <f t="shared" si="14"/>
        <v>0</v>
      </c>
      <c r="J71" s="1">
        <f t="shared" si="15"/>
        <v>0</v>
      </c>
      <c r="K71" s="4">
        <f t="shared" si="16"/>
        <v>0</v>
      </c>
    </row>
    <row r="72" spans="2:11" ht="12.75">
      <c r="B72" t="s">
        <v>39</v>
      </c>
      <c r="C72" s="56"/>
      <c r="D72" s="4">
        <f>D71</f>
        <v>49</v>
      </c>
      <c r="E72" s="4">
        <f t="shared" si="3"/>
        <v>29.4</v>
      </c>
      <c r="F72" s="4">
        <f>IF('Pass&amp;CardChoice'!$B$39,D72-E72,IF('Pass&amp;CardChoice'!$B$40,IF(NOT(OR('Pass&amp;CardChoice'!$B$13,'Pass&amp;CardChoice'!$B$14,'Pass&amp;CardChoice'!$B$15)),D72,0),0))</f>
        <v>0</v>
      </c>
      <c r="G72" s="9"/>
      <c r="H72" s="1">
        <f>CHOOSE('Rental type'!A7,'Ticket Prices'!$B$21,'Ticket Prices'!$B$30,0)</f>
        <v>0</v>
      </c>
      <c r="I72" s="1">
        <f t="shared" si="14"/>
        <v>0</v>
      </c>
      <c r="J72" s="1">
        <f>H72-I72</f>
        <v>0</v>
      </c>
      <c r="K72" s="4">
        <f t="shared" si="16"/>
        <v>0</v>
      </c>
    </row>
    <row r="73" spans="2:11" ht="12.75">
      <c r="B73" t="s">
        <v>40</v>
      </c>
      <c r="C73" s="56"/>
      <c r="D73" s="4">
        <f>D72</f>
        <v>49</v>
      </c>
      <c r="E73" s="4">
        <f t="shared" si="3"/>
        <v>29.4</v>
      </c>
      <c r="F73" s="4">
        <f>IF('Pass&amp;CardChoice'!$B$39,D73-E73,IF('Pass&amp;CardChoice'!$B$40,IF(NOT(OR('Pass&amp;CardChoice'!$B$13,'Pass&amp;CardChoice'!$B$14,'Pass&amp;CardChoice'!$B$15)),D73,0),0))</f>
        <v>0</v>
      </c>
      <c r="G73" s="9"/>
      <c r="H73" s="1">
        <f>CHOOSE('Rental type'!A8,'Ticket Prices'!$B$21,'Ticket Prices'!$B$30,0)</f>
        <v>0</v>
      </c>
      <c r="I73" s="1">
        <f t="shared" si="14"/>
        <v>0</v>
      </c>
      <c r="J73" s="1">
        <f>H73-I73</f>
        <v>0</v>
      </c>
      <c r="K73" s="4">
        <f t="shared" si="16"/>
        <v>0</v>
      </c>
    </row>
    <row r="74" spans="2:11" ht="12.75">
      <c r="B74" t="s">
        <v>27</v>
      </c>
      <c r="C74" s="56"/>
      <c r="D74" s="4">
        <f>'Ticket Prices'!B10</f>
        <v>43</v>
      </c>
      <c r="E74" s="4">
        <f t="shared" si="3"/>
        <v>25.8</v>
      </c>
      <c r="F74" s="4">
        <f>IF('Pass&amp;CardChoice'!$B$39,D74-E74,IF('Pass&amp;CardChoice'!$B$40,IF(NOT(OR('Pass&amp;CardChoice'!$B$13,'Pass&amp;CardChoice'!$B$14,'Pass&amp;CardChoice'!$B$15)),D74,0),0))</f>
        <v>0</v>
      </c>
      <c r="G74" s="9"/>
      <c r="H74" s="1">
        <f>CHOOSE('Rental type'!A9,'Ticket Prices'!$B$21,'Ticket Prices'!$B$30,0)</f>
        <v>0</v>
      </c>
      <c r="I74" s="1">
        <f t="shared" si="14"/>
        <v>0</v>
      </c>
      <c r="J74" s="1">
        <f t="shared" si="15"/>
        <v>0</v>
      </c>
      <c r="K74" s="4">
        <f t="shared" si="16"/>
        <v>0</v>
      </c>
    </row>
    <row r="75" spans="2:11" ht="12.75">
      <c r="B75" t="s">
        <v>28</v>
      </c>
      <c r="C75" s="56"/>
      <c r="D75" s="4">
        <f>D74</f>
        <v>43</v>
      </c>
      <c r="E75" s="4">
        <f t="shared" si="3"/>
        <v>25.8</v>
      </c>
      <c r="F75" s="4">
        <f>IF('Pass&amp;CardChoice'!$B$39,D75-E75,IF('Pass&amp;CardChoice'!$B$40,IF(NOT(OR('Pass&amp;CardChoice'!$B$13,'Pass&amp;CardChoice'!$B$14,'Pass&amp;CardChoice'!$B$15)),D75,0),0))</f>
        <v>0</v>
      </c>
      <c r="G75" s="9"/>
      <c r="H75" s="1">
        <f>CHOOSE('Rental type'!A10,'Ticket Prices'!$B$21,'Ticket Prices'!$B$30,0)</f>
        <v>0</v>
      </c>
      <c r="I75" s="1">
        <f t="shared" si="14"/>
        <v>0</v>
      </c>
      <c r="J75" s="1">
        <f t="shared" si="15"/>
        <v>0</v>
      </c>
      <c r="K75" s="4">
        <f t="shared" si="16"/>
        <v>0</v>
      </c>
    </row>
    <row r="76" spans="2:11" ht="12.75">
      <c r="B76" t="s">
        <v>29</v>
      </c>
      <c r="C76" s="56"/>
      <c r="D76" s="4">
        <f>D75</f>
        <v>43</v>
      </c>
      <c r="E76" s="4">
        <f t="shared" si="3"/>
        <v>25.8</v>
      </c>
      <c r="F76" s="4">
        <f>IF('Pass&amp;CardChoice'!$B$39,D76-E76,IF('Pass&amp;CardChoice'!$B$40,IF(NOT(OR('Pass&amp;CardChoice'!$B$13,'Pass&amp;CardChoice'!$B$14,'Pass&amp;CardChoice'!$B$15)),D76,0),0))</f>
        <v>0</v>
      </c>
      <c r="G76" s="9"/>
      <c r="H76" s="1">
        <f>CHOOSE('Rental type'!A11,'Ticket Prices'!$B$21,'Ticket Prices'!$B$30,0)</f>
        <v>0</v>
      </c>
      <c r="I76" s="1">
        <f t="shared" si="14"/>
        <v>0</v>
      </c>
      <c r="J76" s="1">
        <f t="shared" si="15"/>
        <v>0</v>
      </c>
      <c r="K76" s="4">
        <f t="shared" si="16"/>
        <v>0</v>
      </c>
    </row>
    <row r="77" spans="2:11" ht="12.75">
      <c r="B77" t="s">
        <v>137</v>
      </c>
      <c r="C77" s="56"/>
      <c r="D77" s="4">
        <f>D73/2</f>
        <v>24.5</v>
      </c>
      <c r="E77" s="4">
        <f>D77</f>
        <v>24.5</v>
      </c>
      <c r="F77" s="4">
        <f>IF('Pass&amp;CardChoice'!$B$39,D77-E77,IF('Pass&amp;CardChoice'!$B$40,IF(NOT(OR('Pass&amp;CardChoice'!$B$14,'Pass&amp;CardChoice'!$B$15)),D77,0),0))</f>
        <v>0</v>
      </c>
      <c r="G77" s="9"/>
      <c r="H77" s="1">
        <f>CHOOSE('Rental type'!A12,'Ticket Prices'!$B$21,'Ticket Prices'!$B$30,0)</f>
        <v>0</v>
      </c>
      <c r="I77" s="1">
        <f t="shared" si="14"/>
        <v>0</v>
      </c>
      <c r="J77" s="1">
        <f>H77-I77</f>
        <v>0</v>
      </c>
      <c r="K77" s="4">
        <f>(C77*F77)+(G77*D77)+(C77*J77)+(G77*H77)</f>
        <v>0</v>
      </c>
    </row>
    <row r="78" spans="2:11" ht="12.75">
      <c r="B78" t="s">
        <v>123</v>
      </c>
      <c r="C78" s="56"/>
      <c r="D78" s="4">
        <f>D70</f>
        <v>49</v>
      </c>
      <c r="E78" s="4">
        <f t="shared" si="3"/>
        <v>29.4</v>
      </c>
      <c r="F78" s="4">
        <f>IF('Pass&amp;CardChoice'!$B$7,D78-E78,0)</f>
        <v>0</v>
      </c>
      <c r="G78" s="31"/>
      <c r="H78" s="31"/>
      <c r="I78" s="31"/>
      <c r="J78" s="31"/>
      <c r="K78" s="4">
        <v>0</v>
      </c>
    </row>
    <row r="79" spans="2:11" ht="12.75">
      <c r="B79" t="s">
        <v>124</v>
      </c>
      <c r="C79" s="56"/>
      <c r="D79" s="4">
        <f>D74</f>
        <v>43</v>
      </c>
      <c r="E79" s="4">
        <f t="shared" si="3"/>
        <v>25.8</v>
      </c>
      <c r="F79" s="4">
        <f>IF('Pass&amp;CardChoice'!$B$7,D79-E79,0)</f>
        <v>0</v>
      </c>
      <c r="G79" s="31"/>
      <c r="H79" s="31"/>
      <c r="I79" s="31"/>
      <c r="J79" s="31"/>
      <c r="K79" s="4">
        <v>0</v>
      </c>
    </row>
    <row r="80" spans="1:11" ht="12.75">
      <c r="A80" t="s">
        <v>8</v>
      </c>
      <c r="D80" s="4"/>
      <c r="E80" s="4"/>
      <c r="K80" s="4"/>
    </row>
    <row r="81" spans="2:11" ht="12.75">
      <c r="B81" t="s">
        <v>25</v>
      </c>
      <c r="C81" s="56"/>
      <c r="D81" s="4">
        <f>'Ticket Prices'!B5</f>
        <v>44</v>
      </c>
      <c r="E81" s="4">
        <f t="shared" si="3"/>
        <v>26.4</v>
      </c>
      <c r="F81" s="4">
        <f>IF('Pass&amp;CardChoice'!$B$39,D81-E81,IF('Pass&amp;CardChoice'!$B$40,IF(NOT(OR('Pass&amp;CardChoice'!$B$13,'Pass&amp;CardChoice'!$B$14,'Pass&amp;CardChoice'!$B$15)),D81,0),0))</f>
        <v>0</v>
      </c>
      <c r="G81" s="9"/>
      <c r="H81" s="1">
        <f>CHOOSE('Rental type'!A5,'Ticket Prices'!$B$20,'Ticket Prices'!$B$29,0)</f>
        <v>0</v>
      </c>
      <c r="I81" s="1">
        <f t="shared" si="14"/>
        <v>0</v>
      </c>
      <c r="J81" s="1">
        <f aca="true" t="shared" si="17" ref="J81:J87">H81-I81</f>
        <v>0</v>
      </c>
      <c r="K81" s="4">
        <f aca="true" t="shared" si="18" ref="K81:K87">(C81*F81)+(G81*D81)+(C81*J81)+(G81*H81)</f>
        <v>0</v>
      </c>
    </row>
    <row r="82" spans="2:11" ht="12.75">
      <c r="B82" t="s">
        <v>26</v>
      </c>
      <c r="C82" s="56"/>
      <c r="D82" s="4">
        <f>D81</f>
        <v>44</v>
      </c>
      <c r="E82" s="4">
        <f t="shared" si="3"/>
        <v>26.4</v>
      </c>
      <c r="F82" s="4">
        <f>IF('Pass&amp;CardChoice'!$B$39,D82-E82,IF('Pass&amp;CardChoice'!$B$40,IF(NOT(OR('Pass&amp;CardChoice'!$B$13,'Pass&amp;CardChoice'!$B$14,'Pass&amp;CardChoice'!$B$15)),D82,0),0))</f>
        <v>0</v>
      </c>
      <c r="G82" s="9"/>
      <c r="H82" s="1">
        <f>CHOOSE('Rental type'!A6,'Ticket Prices'!$B$20,'Ticket Prices'!$B$29,0)</f>
        <v>0</v>
      </c>
      <c r="I82" s="1">
        <f t="shared" si="14"/>
        <v>0</v>
      </c>
      <c r="J82" s="1">
        <f t="shared" si="17"/>
        <v>0</v>
      </c>
      <c r="K82" s="4">
        <f t="shared" si="18"/>
        <v>0</v>
      </c>
    </row>
    <row r="83" spans="2:11" ht="12.75">
      <c r="B83" t="s">
        <v>39</v>
      </c>
      <c r="C83" s="56"/>
      <c r="D83" s="4">
        <f>D82</f>
        <v>44</v>
      </c>
      <c r="E83" s="4">
        <f t="shared" si="3"/>
        <v>26.4</v>
      </c>
      <c r="F83" s="4">
        <f>IF('Pass&amp;CardChoice'!$B$39,D83-E83,IF('Pass&amp;CardChoice'!$B$40,IF(NOT(OR('Pass&amp;CardChoice'!$B$13,'Pass&amp;CardChoice'!$B$14,'Pass&amp;CardChoice'!$B$15)),D83,0),0))</f>
        <v>0</v>
      </c>
      <c r="G83" s="9"/>
      <c r="H83" s="1">
        <f>CHOOSE('Rental type'!A7,'Ticket Prices'!$B$20,'Ticket Prices'!$B$29,0)</f>
        <v>0</v>
      </c>
      <c r="I83" s="1">
        <f t="shared" si="14"/>
        <v>0</v>
      </c>
      <c r="J83" s="1">
        <f>H83-I83</f>
        <v>0</v>
      </c>
      <c r="K83" s="4">
        <f t="shared" si="18"/>
        <v>0</v>
      </c>
    </row>
    <row r="84" spans="2:11" ht="12.75">
      <c r="B84" t="s">
        <v>40</v>
      </c>
      <c r="C84" s="56"/>
      <c r="D84" s="4">
        <f>D83</f>
        <v>44</v>
      </c>
      <c r="E84" s="4">
        <f t="shared" si="3"/>
        <v>26.4</v>
      </c>
      <c r="F84" s="4">
        <f>IF('Pass&amp;CardChoice'!$B$39,D84-E84,IF('Pass&amp;CardChoice'!$B$40,IF(NOT(OR('Pass&amp;CardChoice'!$B$13,'Pass&amp;CardChoice'!$B$14,'Pass&amp;CardChoice'!$B$15)),D84,0),0))</f>
        <v>0</v>
      </c>
      <c r="G84" s="9"/>
      <c r="H84" s="1">
        <f>CHOOSE('Rental type'!A8,'Ticket Prices'!$B$20,'Ticket Prices'!$B$29,0)</f>
        <v>0</v>
      </c>
      <c r="I84" s="1">
        <f t="shared" si="14"/>
        <v>0</v>
      </c>
      <c r="J84" s="1">
        <f>H84-I84</f>
        <v>0</v>
      </c>
      <c r="K84" s="4">
        <f t="shared" si="18"/>
        <v>0</v>
      </c>
    </row>
    <row r="85" spans="2:11" ht="12.75">
      <c r="B85" t="s">
        <v>27</v>
      </c>
      <c r="C85" s="56"/>
      <c r="D85" s="4">
        <f>'Ticket Prices'!B9</f>
        <v>39</v>
      </c>
      <c r="E85" s="4">
        <f t="shared" si="3"/>
        <v>23.4</v>
      </c>
      <c r="F85" s="4">
        <f>IF('Pass&amp;CardChoice'!$B$39,D85-E85,IF('Pass&amp;CardChoice'!$B$40,IF(NOT(OR('Pass&amp;CardChoice'!$B$13,'Pass&amp;CardChoice'!$B$14,'Pass&amp;CardChoice'!$B$15)),D85,0),0))</f>
        <v>0</v>
      </c>
      <c r="G85" s="9"/>
      <c r="H85" s="1">
        <f>CHOOSE('Rental type'!A9,'Ticket Prices'!$B$20,'Ticket Prices'!$B$29,0)</f>
        <v>0</v>
      </c>
      <c r="I85" s="1">
        <f t="shared" si="14"/>
        <v>0</v>
      </c>
      <c r="J85" s="1">
        <f t="shared" si="17"/>
        <v>0</v>
      </c>
      <c r="K85" s="4">
        <f t="shared" si="18"/>
        <v>0</v>
      </c>
    </row>
    <row r="86" spans="2:11" ht="12.75">
      <c r="B86" t="s">
        <v>28</v>
      </c>
      <c r="C86" s="56"/>
      <c r="D86" s="4">
        <f>D85</f>
        <v>39</v>
      </c>
      <c r="E86" s="4">
        <f t="shared" si="3"/>
        <v>23.4</v>
      </c>
      <c r="F86" s="4">
        <f>IF('Pass&amp;CardChoice'!$B$39,D86-E86,IF('Pass&amp;CardChoice'!$B$40,IF(NOT(OR('Pass&amp;CardChoice'!$B$13,'Pass&amp;CardChoice'!$B$14,'Pass&amp;CardChoice'!$B$15)),D86,0),0))</f>
        <v>0</v>
      </c>
      <c r="G86" s="9"/>
      <c r="H86" s="1">
        <f>CHOOSE('Rental type'!A10,'Ticket Prices'!$B$20,'Ticket Prices'!$B$29,0)</f>
        <v>0</v>
      </c>
      <c r="I86" s="1">
        <f t="shared" si="14"/>
        <v>0</v>
      </c>
      <c r="J86" s="1">
        <f t="shared" si="17"/>
        <v>0</v>
      </c>
      <c r="K86" s="4">
        <f t="shared" si="18"/>
        <v>0</v>
      </c>
    </row>
    <row r="87" spans="2:11" ht="12.75">
      <c r="B87" t="s">
        <v>29</v>
      </c>
      <c r="C87" s="56"/>
      <c r="D87" s="4">
        <f>D86</f>
        <v>39</v>
      </c>
      <c r="E87" s="4">
        <f t="shared" si="3"/>
        <v>23.4</v>
      </c>
      <c r="F87" s="4">
        <f>IF('Pass&amp;CardChoice'!$B$39,D87-E87,IF('Pass&amp;CardChoice'!$B$40,IF(NOT(OR('Pass&amp;CardChoice'!$B$13,'Pass&amp;CardChoice'!$B$14,'Pass&amp;CardChoice'!$B$15)),D87,0),0))</f>
        <v>0</v>
      </c>
      <c r="G87" s="9"/>
      <c r="H87" s="1">
        <f>CHOOSE('Rental type'!A11,'Ticket Prices'!$B$20,'Ticket Prices'!$B$29,0)</f>
        <v>0</v>
      </c>
      <c r="I87" s="1">
        <f t="shared" si="14"/>
        <v>0</v>
      </c>
      <c r="J87" s="1">
        <f t="shared" si="17"/>
        <v>0</v>
      </c>
      <c r="K87" s="4">
        <f t="shared" si="18"/>
        <v>0</v>
      </c>
    </row>
    <row r="88" spans="2:11" ht="12.75">
      <c r="B88" t="s">
        <v>137</v>
      </c>
      <c r="C88" s="56"/>
      <c r="D88" s="4">
        <f>D84/2</f>
        <v>22</v>
      </c>
      <c r="E88" s="4">
        <f>D88</f>
        <v>22</v>
      </c>
      <c r="F88" s="4">
        <f>IF('Pass&amp;CardChoice'!$B$39,D88-E88,IF('Pass&amp;CardChoice'!$B$40,IF(NOT(OR('Pass&amp;CardChoice'!$B$14,'Pass&amp;CardChoice'!$B$15)),D88,0),0))</f>
        <v>0</v>
      </c>
      <c r="G88" s="9"/>
      <c r="H88" s="1">
        <f>CHOOSE('Rental type'!A12,'Ticket Prices'!$B$20,'Ticket Prices'!$B$29,0)</f>
        <v>0</v>
      </c>
      <c r="I88" s="1">
        <f t="shared" si="14"/>
        <v>0</v>
      </c>
      <c r="J88" s="1">
        <f>H88-I88</f>
        <v>0</v>
      </c>
      <c r="K88" s="4">
        <f>(C88*F88)+(G88*D88)+(C88*J88)+(G88*H88)</f>
        <v>0</v>
      </c>
    </row>
    <row r="89" spans="2:11" ht="12.75">
      <c r="B89" t="s">
        <v>123</v>
      </c>
      <c r="C89" s="56"/>
      <c r="D89" s="4">
        <f>D81</f>
        <v>44</v>
      </c>
      <c r="E89" s="4">
        <f t="shared" si="3"/>
        <v>26.4</v>
      </c>
      <c r="F89" s="4">
        <f>IF('Pass&amp;CardChoice'!$B$7,D89-E89,0)</f>
        <v>0</v>
      </c>
      <c r="G89" s="31"/>
      <c r="H89" s="31"/>
      <c r="I89" s="31"/>
      <c r="J89" s="31"/>
      <c r="K89" s="4">
        <v>0</v>
      </c>
    </row>
    <row r="90" spans="2:11" ht="12.75">
      <c r="B90" t="s">
        <v>124</v>
      </c>
      <c r="C90" s="56"/>
      <c r="D90" s="4">
        <f>D85</f>
        <v>39</v>
      </c>
      <c r="E90" s="4">
        <f t="shared" si="3"/>
        <v>23.4</v>
      </c>
      <c r="F90" s="4">
        <f>IF('Pass&amp;CardChoice'!$B$7,D90-E90,0)</f>
        <v>0</v>
      </c>
      <c r="G90" s="31"/>
      <c r="H90" s="31"/>
      <c r="I90" s="31"/>
      <c r="J90" s="31"/>
      <c r="K90" s="4">
        <v>0</v>
      </c>
    </row>
    <row r="91" spans="1:11" ht="12.75">
      <c r="A91" t="s">
        <v>171</v>
      </c>
      <c r="C91" s="18"/>
      <c r="D91" s="4"/>
      <c r="E91" s="4"/>
      <c r="G91" s="47"/>
      <c r="H91" s="47"/>
      <c r="I91" s="47"/>
      <c r="J91" s="47"/>
      <c r="K91" s="4"/>
    </row>
    <row r="92" spans="2:11" ht="12.75">
      <c r="B92" t="s">
        <v>25</v>
      </c>
      <c r="C92" s="56"/>
      <c r="D92" s="4">
        <f>'Ticket Prices'!$C$13</f>
        <v>110</v>
      </c>
      <c r="E92" s="4">
        <f aca="true" t="shared" si="19" ref="E92:E99">0.6*D92</f>
        <v>66</v>
      </c>
      <c r="F92" s="4">
        <f>IF('Pass&amp;CardChoice'!$B$39,D92-E92,IF('Pass&amp;CardChoice'!$B$40,IF(NOT(OR('Pass&amp;CardChoice'!$B$13,'Pass&amp;CardChoice'!$B$14,'Pass&amp;CardChoice'!$B$15)),D92,0),0))</f>
        <v>0</v>
      </c>
      <c r="G92" s="31"/>
      <c r="H92" s="1">
        <f>CHOOSE('Rental type'!A5,'Ticket Prices'!$C$24,'Ticket Prices'!$C$32,0)</f>
        <v>0</v>
      </c>
      <c r="I92" s="1">
        <f aca="true" t="shared" si="20" ref="I92:I99">0.6*H92</f>
        <v>0</v>
      </c>
      <c r="J92" s="1">
        <f aca="true" t="shared" si="21" ref="J92:J99">H92-I92</f>
        <v>0</v>
      </c>
      <c r="K92" s="4">
        <f aca="true" t="shared" si="22" ref="K92:K98">(C92*F92)+(G92*D92)+(C92*J92)+(G92*H92)</f>
        <v>0</v>
      </c>
    </row>
    <row r="93" spans="2:11" ht="12.75">
      <c r="B93" t="s">
        <v>26</v>
      </c>
      <c r="C93" s="56"/>
      <c r="D93" s="4">
        <f>D92</f>
        <v>110</v>
      </c>
      <c r="E93" s="4">
        <f t="shared" si="19"/>
        <v>66</v>
      </c>
      <c r="F93" s="4">
        <f>IF('Pass&amp;CardChoice'!$B$39,D93-E93,IF('Pass&amp;CardChoice'!$B$40,IF(NOT(OR('Pass&amp;CardChoice'!$B$13,'Pass&amp;CardChoice'!$B$14,'Pass&amp;CardChoice'!$B$15)),D93,0),0))</f>
        <v>0</v>
      </c>
      <c r="G93" s="31"/>
      <c r="H93" s="1">
        <f>CHOOSE('Rental type'!A6,'Ticket Prices'!$C$24,'Ticket Prices'!$C$32,0)</f>
        <v>0</v>
      </c>
      <c r="I93" s="1">
        <f t="shared" si="20"/>
        <v>0</v>
      </c>
      <c r="J93" s="1">
        <f t="shared" si="21"/>
        <v>0</v>
      </c>
      <c r="K93" s="4">
        <f t="shared" si="22"/>
        <v>0</v>
      </c>
    </row>
    <row r="94" spans="2:11" ht="12.75">
      <c r="B94" t="s">
        <v>39</v>
      </c>
      <c r="C94" s="56"/>
      <c r="D94" s="4">
        <f>D93</f>
        <v>110</v>
      </c>
      <c r="E94" s="4">
        <f t="shared" si="19"/>
        <v>66</v>
      </c>
      <c r="F94" s="4">
        <f>IF('Pass&amp;CardChoice'!$B$39,D94-E94,IF('Pass&amp;CardChoice'!$B$40,IF(NOT(OR('Pass&amp;CardChoice'!$B$13,'Pass&amp;CardChoice'!$B$14,'Pass&amp;CardChoice'!$B$15)),D94,0),0))</f>
        <v>0</v>
      </c>
      <c r="G94" s="31"/>
      <c r="H94" s="1">
        <f>CHOOSE('Rental type'!A7,'Ticket Prices'!$C$24,'Ticket Prices'!$C$32,0)</f>
        <v>0</v>
      </c>
      <c r="I94" s="1">
        <f t="shared" si="20"/>
        <v>0</v>
      </c>
      <c r="J94" s="1">
        <f t="shared" si="21"/>
        <v>0</v>
      </c>
      <c r="K94" s="4">
        <f t="shared" si="22"/>
        <v>0</v>
      </c>
    </row>
    <row r="95" spans="2:11" ht="12.75">
      <c r="B95" t="s">
        <v>40</v>
      </c>
      <c r="C95" s="56"/>
      <c r="D95" s="4">
        <f>D94</f>
        <v>110</v>
      </c>
      <c r="E95" s="4">
        <f t="shared" si="19"/>
        <v>66</v>
      </c>
      <c r="F95" s="4">
        <f>IF('Pass&amp;CardChoice'!$B$39,D95-E95,IF('Pass&amp;CardChoice'!$B$40,IF(NOT(OR('Pass&amp;CardChoice'!$B$13,'Pass&amp;CardChoice'!$B$14,'Pass&amp;CardChoice'!$B$15)),D95,0),0))</f>
        <v>0</v>
      </c>
      <c r="G95" s="31"/>
      <c r="H95" s="1">
        <f>CHOOSE('Rental type'!A8,'Ticket Prices'!$C$24,'Ticket Prices'!$C$32,0)</f>
        <v>0</v>
      </c>
      <c r="I95" s="1">
        <f t="shared" si="20"/>
        <v>0</v>
      </c>
      <c r="J95" s="1">
        <f t="shared" si="21"/>
        <v>0</v>
      </c>
      <c r="K95" s="4">
        <f t="shared" si="22"/>
        <v>0</v>
      </c>
    </row>
    <row r="96" spans="2:11" ht="12.75">
      <c r="B96" t="s">
        <v>27</v>
      </c>
      <c r="C96" s="56"/>
      <c r="D96" s="4">
        <f>'Ticket Prices'!$C$14</f>
        <v>98</v>
      </c>
      <c r="E96" s="4">
        <f t="shared" si="19"/>
        <v>58.8</v>
      </c>
      <c r="F96" s="4">
        <f>IF('Pass&amp;CardChoice'!$B$39,D96-E96,IF('Pass&amp;CardChoice'!$B$40,IF(NOT(OR('Pass&amp;CardChoice'!$B$13,'Pass&amp;CardChoice'!$B$14,'Pass&amp;CardChoice'!$B$15)),D96,0),0))</f>
        <v>0</v>
      </c>
      <c r="G96" s="31"/>
      <c r="H96" s="1">
        <f>CHOOSE('Rental type'!A9,'Ticket Prices'!$C$24,'Ticket Prices'!$C$32,0)</f>
        <v>0</v>
      </c>
      <c r="I96" s="1">
        <f t="shared" si="20"/>
        <v>0</v>
      </c>
      <c r="J96" s="1">
        <f t="shared" si="21"/>
        <v>0</v>
      </c>
      <c r="K96" s="4">
        <f t="shared" si="22"/>
        <v>0</v>
      </c>
    </row>
    <row r="97" spans="2:11" ht="12.75">
      <c r="B97" t="s">
        <v>28</v>
      </c>
      <c r="C97" s="56"/>
      <c r="D97" s="4">
        <f>D96</f>
        <v>98</v>
      </c>
      <c r="E97" s="4">
        <f t="shared" si="19"/>
        <v>58.8</v>
      </c>
      <c r="F97" s="4">
        <f>IF('Pass&amp;CardChoice'!$B$39,D97-E97,IF('Pass&amp;CardChoice'!$B$40,IF(NOT(OR('Pass&amp;CardChoice'!$B$13,'Pass&amp;CardChoice'!$B$14,'Pass&amp;CardChoice'!$B$15)),D97,0),0))</f>
        <v>0</v>
      </c>
      <c r="G97" s="31"/>
      <c r="H97" s="1">
        <f>CHOOSE('Rental type'!A10,'Ticket Prices'!$C$24,'Ticket Prices'!$C$32,0)</f>
        <v>0</v>
      </c>
      <c r="I97" s="1">
        <f t="shared" si="20"/>
        <v>0</v>
      </c>
      <c r="J97" s="1">
        <f t="shared" si="21"/>
        <v>0</v>
      </c>
      <c r="K97" s="4">
        <f t="shared" si="22"/>
        <v>0</v>
      </c>
    </row>
    <row r="98" spans="2:11" ht="12.75">
      <c r="B98" t="s">
        <v>29</v>
      </c>
      <c r="C98" s="56"/>
      <c r="D98" s="4">
        <f>D97</f>
        <v>98</v>
      </c>
      <c r="E98" s="4">
        <f t="shared" si="19"/>
        <v>58.8</v>
      </c>
      <c r="F98" s="4">
        <f>IF('Pass&amp;CardChoice'!$B$39,D98-E98,IF('Pass&amp;CardChoice'!$B$40,IF(NOT(OR('Pass&amp;CardChoice'!$B$13,'Pass&amp;CardChoice'!$B$14,'Pass&amp;CardChoice'!$B$15)),D98,0),0))</f>
        <v>0</v>
      </c>
      <c r="G98" s="31"/>
      <c r="H98" s="1">
        <f>CHOOSE('Rental type'!A11,'Ticket Prices'!$C$24,'Ticket Prices'!$C$32,0)</f>
        <v>0</v>
      </c>
      <c r="I98" s="1">
        <f t="shared" si="20"/>
        <v>0</v>
      </c>
      <c r="J98" s="1">
        <f t="shared" si="21"/>
        <v>0</v>
      </c>
      <c r="K98" s="4">
        <f t="shared" si="22"/>
        <v>0</v>
      </c>
    </row>
    <row r="99" spans="2:11" ht="12.75">
      <c r="B99" t="s">
        <v>137</v>
      </c>
      <c r="C99" s="56"/>
      <c r="D99" s="4">
        <f>D95</f>
        <v>110</v>
      </c>
      <c r="E99" s="4">
        <f t="shared" si="19"/>
        <v>66</v>
      </c>
      <c r="F99" s="4">
        <f>IF('Pass&amp;CardChoice'!$B$39,D99-E99,IF('Pass&amp;CardChoice'!$B$40,IF(NOT(OR('Pass&amp;CardChoice'!$B$14,'Pass&amp;CardChoice'!$B$15)),D99,0),0))</f>
        <v>0</v>
      </c>
      <c r="G99" s="31"/>
      <c r="H99" s="1">
        <f>CHOOSE('Rental type'!A12,'Ticket Prices'!$C$24,'Ticket Prices'!$C$32,0)</f>
        <v>0</v>
      </c>
      <c r="I99" s="1">
        <f t="shared" si="20"/>
        <v>0</v>
      </c>
      <c r="J99" s="1">
        <f t="shared" si="21"/>
        <v>0</v>
      </c>
      <c r="K99" s="4">
        <f>(C99*F99)+(G99*D99)+(C99*J99)+(G99*H99)</f>
        <v>0</v>
      </c>
    </row>
    <row r="100" spans="2:11" ht="12.75">
      <c r="B100" t="s">
        <v>123</v>
      </c>
      <c r="C100" s="56"/>
      <c r="D100" s="4">
        <f>D92</f>
        <v>110</v>
      </c>
      <c r="E100" s="4">
        <f>0.6*D100</f>
        <v>66</v>
      </c>
      <c r="F100" s="4">
        <f>IF('Pass&amp;CardChoice'!$B$7,D100-E100,0)</f>
        <v>0</v>
      </c>
      <c r="G100" s="31"/>
      <c r="H100" s="31"/>
      <c r="I100" s="31"/>
      <c r="J100" s="31"/>
      <c r="K100" s="4">
        <v>0</v>
      </c>
    </row>
    <row r="101" spans="2:11" ht="12.75">
      <c r="B101" t="s">
        <v>124</v>
      </c>
      <c r="C101" s="56"/>
      <c r="D101" s="4">
        <f>D96</f>
        <v>98</v>
      </c>
      <c r="E101" s="4">
        <f>0.6*D101</f>
        <v>58.8</v>
      </c>
      <c r="F101" s="4">
        <f>IF('Pass&amp;CardChoice'!$B$7,D101-E101,0)</f>
        <v>0</v>
      </c>
      <c r="G101" s="31"/>
      <c r="H101" s="31"/>
      <c r="I101" s="31"/>
      <c r="J101" s="31"/>
      <c r="K101" s="4">
        <v>0</v>
      </c>
    </row>
    <row r="102" spans="1:11" ht="12.75">
      <c r="A102" t="s">
        <v>172</v>
      </c>
      <c r="C102" s="18"/>
      <c r="D102" s="4"/>
      <c r="E102" s="4"/>
      <c r="G102" s="47"/>
      <c r="H102" s="47"/>
      <c r="I102" s="47"/>
      <c r="J102" s="47"/>
      <c r="K102" s="4"/>
    </row>
    <row r="103" spans="2:11" ht="12.75">
      <c r="B103" t="s">
        <v>25</v>
      </c>
      <c r="C103" s="56"/>
      <c r="D103" s="4">
        <f>'Ticket Prices'!$C$15</f>
        <v>165</v>
      </c>
      <c r="E103" s="4">
        <f aca="true" t="shared" si="23" ref="E103:E110">0.6*D103</f>
        <v>99</v>
      </c>
      <c r="F103" s="4">
        <f>IF('Pass&amp;CardChoice'!$B$39,D103-E103,IF('Pass&amp;CardChoice'!$B$40,IF(NOT(OR('Pass&amp;CardChoice'!$B$13,'Pass&amp;CardChoice'!$B$14,'Pass&amp;CardChoice'!$B$15)),D103,0),0))</f>
        <v>0</v>
      </c>
      <c r="G103" s="31"/>
      <c r="H103" s="1">
        <f>CHOOSE('Rental type'!A5,'Ticket Prices'!$C$25,'Ticket Prices'!$C$33,0)</f>
        <v>0</v>
      </c>
      <c r="I103" s="1">
        <f aca="true" t="shared" si="24" ref="I103:I110">0.6*H103</f>
        <v>0</v>
      </c>
      <c r="J103" s="1">
        <f aca="true" t="shared" si="25" ref="J103:J110">H103-I103</f>
        <v>0</v>
      </c>
      <c r="K103" s="4">
        <f aca="true" t="shared" si="26" ref="K103:K109">(C103*F103)+(G103*D103)+(C103*J103)+(G103*H103)</f>
        <v>0</v>
      </c>
    </row>
    <row r="104" spans="2:11" ht="12.75">
      <c r="B104" t="s">
        <v>26</v>
      </c>
      <c r="C104" s="56"/>
      <c r="D104" s="4">
        <f>D103</f>
        <v>165</v>
      </c>
      <c r="E104" s="4">
        <f t="shared" si="23"/>
        <v>99</v>
      </c>
      <c r="F104" s="4">
        <f>IF('Pass&amp;CardChoice'!$B$39,D104-E104,IF('Pass&amp;CardChoice'!$B$40,IF(NOT(OR('Pass&amp;CardChoice'!$B$13,'Pass&amp;CardChoice'!$B$14,'Pass&amp;CardChoice'!$B$15)),D104,0),0))</f>
        <v>0</v>
      </c>
      <c r="G104" s="31"/>
      <c r="H104" s="1">
        <f>CHOOSE('Rental type'!A6,'Ticket Prices'!$C$25,'Ticket Prices'!$C$33,0)</f>
        <v>0</v>
      </c>
      <c r="I104" s="1">
        <f t="shared" si="24"/>
        <v>0</v>
      </c>
      <c r="J104" s="1">
        <f t="shared" si="25"/>
        <v>0</v>
      </c>
      <c r="K104" s="4">
        <f t="shared" si="26"/>
        <v>0</v>
      </c>
    </row>
    <row r="105" spans="2:11" ht="12.75">
      <c r="B105" t="s">
        <v>39</v>
      </c>
      <c r="C105" s="56"/>
      <c r="D105" s="4">
        <f>D104</f>
        <v>165</v>
      </c>
      <c r="E105" s="4">
        <f t="shared" si="23"/>
        <v>99</v>
      </c>
      <c r="F105" s="4">
        <f>IF('Pass&amp;CardChoice'!$B$39,D105-E105,IF('Pass&amp;CardChoice'!$B$40,IF(NOT(OR('Pass&amp;CardChoice'!$B$13,'Pass&amp;CardChoice'!$B$14,'Pass&amp;CardChoice'!$B$15)),D105,0),0))</f>
        <v>0</v>
      </c>
      <c r="G105" s="31"/>
      <c r="H105" s="1">
        <f>CHOOSE('Rental type'!A7,'Ticket Prices'!$C$25,'Ticket Prices'!$C$33,0)</f>
        <v>0</v>
      </c>
      <c r="I105" s="1">
        <f t="shared" si="24"/>
        <v>0</v>
      </c>
      <c r="J105" s="1">
        <f t="shared" si="25"/>
        <v>0</v>
      </c>
      <c r="K105" s="4">
        <f t="shared" si="26"/>
        <v>0</v>
      </c>
    </row>
    <row r="106" spans="2:11" ht="12.75">
      <c r="B106" t="s">
        <v>40</v>
      </c>
      <c r="C106" s="56"/>
      <c r="D106" s="4">
        <f>D105</f>
        <v>165</v>
      </c>
      <c r="E106" s="4">
        <f t="shared" si="23"/>
        <v>99</v>
      </c>
      <c r="F106" s="4">
        <f>IF('Pass&amp;CardChoice'!$B$39,D106-E106,IF('Pass&amp;CardChoice'!$B$40,IF(NOT(OR('Pass&amp;CardChoice'!$B$13,'Pass&amp;CardChoice'!$B$14,'Pass&amp;CardChoice'!$B$15)),D106,0),0))</f>
        <v>0</v>
      </c>
      <c r="G106" s="31"/>
      <c r="H106" s="1">
        <f>CHOOSE('Rental type'!A8,'Ticket Prices'!$C$25,'Ticket Prices'!$C$33,0)</f>
        <v>0</v>
      </c>
      <c r="I106" s="1">
        <f t="shared" si="24"/>
        <v>0</v>
      </c>
      <c r="J106" s="1">
        <f t="shared" si="25"/>
        <v>0</v>
      </c>
      <c r="K106" s="4">
        <f t="shared" si="26"/>
        <v>0</v>
      </c>
    </row>
    <row r="107" spans="2:11" ht="12.75">
      <c r="B107" t="s">
        <v>27</v>
      </c>
      <c r="C107" s="56"/>
      <c r="D107" s="4">
        <f>'Ticket Prices'!$C$16</f>
        <v>147</v>
      </c>
      <c r="E107" s="4">
        <f t="shared" si="23"/>
        <v>88.2</v>
      </c>
      <c r="F107" s="4">
        <f>IF('Pass&amp;CardChoice'!$B$39,D107-E107,IF('Pass&amp;CardChoice'!$B$40,IF(NOT(OR('Pass&amp;CardChoice'!$B$13,'Pass&amp;CardChoice'!$B$14,'Pass&amp;CardChoice'!$B$15)),D107,0),0))</f>
        <v>0</v>
      </c>
      <c r="G107" s="31"/>
      <c r="H107" s="1">
        <f>CHOOSE('Rental type'!A9,'Ticket Prices'!$C$25,'Ticket Prices'!$C$33,0)</f>
        <v>0</v>
      </c>
      <c r="I107" s="1">
        <f t="shared" si="24"/>
        <v>0</v>
      </c>
      <c r="J107" s="1">
        <f t="shared" si="25"/>
        <v>0</v>
      </c>
      <c r="K107" s="4">
        <f t="shared" si="26"/>
        <v>0</v>
      </c>
    </row>
    <row r="108" spans="2:11" ht="12.75">
      <c r="B108" t="s">
        <v>28</v>
      </c>
      <c r="C108" s="56"/>
      <c r="D108" s="4">
        <f>D107</f>
        <v>147</v>
      </c>
      <c r="E108" s="4">
        <f t="shared" si="23"/>
        <v>88.2</v>
      </c>
      <c r="F108" s="4">
        <f>IF('Pass&amp;CardChoice'!$B$39,D108-E108,IF('Pass&amp;CardChoice'!$B$40,IF(NOT(OR('Pass&amp;CardChoice'!$B$13,'Pass&amp;CardChoice'!$B$14,'Pass&amp;CardChoice'!$B$15)),D108,0),0))</f>
        <v>0</v>
      </c>
      <c r="G108" s="31"/>
      <c r="H108" s="1">
        <f>CHOOSE('Rental type'!A10,'Ticket Prices'!$C$25,'Ticket Prices'!$C$33,0)</f>
        <v>0</v>
      </c>
      <c r="I108" s="1">
        <f t="shared" si="24"/>
        <v>0</v>
      </c>
      <c r="J108" s="1">
        <f t="shared" si="25"/>
        <v>0</v>
      </c>
      <c r="K108" s="4">
        <f t="shared" si="26"/>
        <v>0</v>
      </c>
    </row>
    <row r="109" spans="2:11" ht="12.75">
      <c r="B109" t="s">
        <v>29</v>
      </c>
      <c r="C109" s="56"/>
      <c r="D109" s="4">
        <f>D108</f>
        <v>147</v>
      </c>
      <c r="E109" s="4">
        <f t="shared" si="23"/>
        <v>88.2</v>
      </c>
      <c r="F109" s="4">
        <f>IF('Pass&amp;CardChoice'!$B$39,D109-E109,IF('Pass&amp;CardChoice'!$B$40,IF(NOT(OR('Pass&amp;CardChoice'!$B$13,'Pass&amp;CardChoice'!$B$14,'Pass&amp;CardChoice'!$B$15)),D109,0),0))</f>
        <v>0</v>
      </c>
      <c r="G109" s="31"/>
      <c r="H109" s="1">
        <f>CHOOSE('Rental type'!A11,'Ticket Prices'!$C$25,'Ticket Prices'!$C$33,0)</f>
        <v>0</v>
      </c>
      <c r="I109" s="1">
        <f t="shared" si="24"/>
        <v>0</v>
      </c>
      <c r="J109" s="1">
        <f t="shared" si="25"/>
        <v>0</v>
      </c>
      <c r="K109" s="4">
        <f t="shared" si="26"/>
        <v>0</v>
      </c>
    </row>
    <row r="110" spans="2:11" ht="12.75">
      <c r="B110" t="s">
        <v>137</v>
      </c>
      <c r="C110" s="56"/>
      <c r="D110" s="4">
        <f>D106</f>
        <v>165</v>
      </c>
      <c r="E110" s="4">
        <f t="shared" si="23"/>
        <v>99</v>
      </c>
      <c r="F110" s="4">
        <f>IF('Pass&amp;CardChoice'!$B$39,D110-E110,IF('Pass&amp;CardChoice'!$B$40,IF(NOT(OR('Pass&amp;CardChoice'!$B$14,'Pass&amp;CardChoice'!$B$15)),D110,0),0))</f>
        <v>0</v>
      </c>
      <c r="G110" s="31"/>
      <c r="H110" s="1">
        <f>CHOOSE('Rental type'!A12,'Ticket Prices'!$C$25,'Ticket Prices'!$C$33,0)</f>
        <v>0</v>
      </c>
      <c r="I110" s="1">
        <f t="shared" si="24"/>
        <v>0</v>
      </c>
      <c r="J110" s="1">
        <f t="shared" si="25"/>
        <v>0</v>
      </c>
      <c r="K110" s="4">
        <f>(C110*F110)+(G110*D110)+(C110*J110)+(G110*H110)</f>
        <v>0</v>
      </c>
    </row>
    <row r="111" spans="2:11" ht="12.75">
      <c r="B111" t="s">
        <v>123</v>
      </c>
      <c r="C111" s="56"/>
      <c r="D111" s="4">
        <f>D103</f>
        <v>165</v>
      </c>
      <c r="E111" s="4">
        <f>0.6*D111</f>
        <v>99</v>
      </c>
      <c r="F111" s="4">
        <f>IF('Pass&amp;CardChoice'!$B$7,D111-E111,0)</f>
        <v>0</v>
      </c>
      <c r="G111" s="31"/>
      <c r="H111" s="31"/>
      <c r="I111" s="31"/>
      <c r="J111" s="31"/>
      <c r="K111" s="4">
        <v>0</v>
      </c>
    </row>
    <row r="112" spans="2:11" ht="12.75">
      <c r="B112" t="s">
        <v>124</v>
      </c>
      <c r="C112" s="56"/>
      <c r="D112" s="4">
        <f>D107</f>
        <v>147</v>
      </c>
      <c r="E112" s="4">
        <f>0.6*D112</f>
        <v>88.2</v>
      </c>
      <c r="F112" s="4">
        <f>IF('Pass&amp;CardChoice'!$B$7,D112-E112,0)</f>
        <v>0</v>
      </c>
      <c r="G112" s="31"/>
      <c r="H112" s="31"/>
      <c r="I112" s="31"/>
      <c r="J112" s="31"/>
      <c r="K112" s="4">
        <v>0</v>
      </c>
    </row>
    <row r="113" spans="1:11" ht="12.75">
      <c r="A113" t="s">
        <v>14</v>
      </c>
      <c r="C113" s="56"/>
      <c r="D113" s="4">
        <f>'Ticket Prices'!B35</f>
        <v>36</v>
      </c>
      <c r="E113" s="4">
        <f>0.6*D113</f>
        <v>21.599999999999998</v>
      </c>
      <c r="F113" s="4">
        <f>IF('Pass&amp;CardChoice'!$B$39,D113-E113,IF('Pass&amp;CardChoice'!$B$40,0.5*D113,0))</f>
        <v>0</v>
      </c>
      <c r="K113" s="4">
        <f>(C113*F113)</f>
        <v>0</v>
      </c>
    </row>
    <row r="114" spans="4:11" ht="12.75">
      <c r="D114" s="4"/>
      <c r="E114" s="4"/>
      <c r="K114" s="7">
        <f>SUM(K15:K113)</f>
        <v>0</v>
      </c>
    </row>
    <row r="115" spans="4:11" ht="24.75" customHeight="1">
      <c r="D115" s="4"/>
      <c r="E115" s="4"/>
      <c r="K115" s="1" t="s">
        <v>20</v>
      </c>
    </row>
    <row r="116" spans="1:11" s="57" customFormat="1" ht="12.75">
      <c r="A116" s="66" t="s">
        <v>225</v>
      </c>
      <c r="D116" s="58"/>
      <c r="E116" s="58"/>
      <c r="F116" s="58"/>
      <c r="G116" s="59"/>
      <c r="H116" s="59"/>
      <c r="I116" s="59"/>
      <c r="J116" s="59"/>
      <c r="K116" s="58"/>
    </row>
    <row r="117" spans="3:11" ht="51">
      <c r="C117" s="1"/>
      <c r="D117" s="1" t="s">
        <v>24</v>
      </c>
      <c r="E117" s="5" t="s">
        <v>6</v>
      </c>
      <c r="F117" s="4" t="s">
        <v>0</v>
      </c>
      <c r="H117" s="1" t="s">
        <v>43</v>
      </c>
      <c r="I117" s="1" t="s">
        <v>23</v>
      </c>
      <c r="J117" s="1" t="s">
        <v>44</v>
      </c>
      <c r="K117" s="1" t="s">
        <v>30</v>
      </c>
    </row>
    <row r="118" spans="1:11" ht="12.75">
      <c r="A118" t="s">
        <v>11</v>
      </c>
      <c r="D118" s="4"/>
      <c r="E118" s="4"/>
      <c r="K118" s="4"/>
    </row>
    <row r="119" spans="2:11" ht="12.75">
      <c r="B119" t="s">
        <v>25</v>
      </c>
      <c r="C119" s="60"/>
      <c r="D119" s="4">
        <f>'Ticket Prices'!F7</f>
        <v>63</v>
      </c>
      <c r="E119" s="4">
        <f>0.6*D119</f>
        <v>37.8</v>
      </c>
      <c r="F119" s="4">
        <f>IF('Pass&amp;CardChoice'!$B$39,D119-E119,IF('Pass&amp;CardChoice'!$B$40,IF(NOT(OR('Pass&amp;CardChoice'!$B$12,'Pass&amp;CardChoice'!$B$13,'Pass&amp;CardChoice'!$B$14,'Pass&amp;CardChoice'!$B$15)),D119,0),0))</f>
        <v>0</v>
      </c>
      <c r="G119" s="9"/>
      <c r="H119" s="1">
        <f>CHOOSE('Rental type'!A5,'Ticket Prices'!$F$22,'Ticket Prices'!$F$31,0)</f>
        <v>0</v>
      </c>
      <c r="I119" s="1">
        <f aca="true" t="shared" si="27" ref="I119:I154">0.6*H119</f>
        <v>0</v>
      </c>
      <c r="J119" s="1">
        <f aca="true" t="shared" si="28" ref="J119:J125">H119-I119</f>
        <v>0</v>
      </c>
      <c r="K119" s="4">
        <f>(C119*F119)+(G119*D119)+(C119*J119)+(G119*H119)</f>
        <v>0</v>
      </c>
    </row>
    <row r="120" spans="2:11" ht="12.75">
      <c r="B120" t="s">
        <v>26</v>
      </c>
      <c r="C120" s="60"/>
      <c r="D120" s="4">
        <f>D119</f>
        <v>63</v>
      </c>
      <c r="E120" s="4">
        <f>0.6*D120</f>
        <v>37.8</v>
      </c>
      <c r="F120" s="4">
        <f>IF('Pass&amp;CardChoice'!$B$39,D120-E120,IF('Pass&amp;CardChoice'!$B$40,IF(NOT(OR('Pass&amp;CardChoice'!$B$12,'Pass&amp;CardChoice'!$B$13,'Pass&amp;CardChoice'!$B$14,'Pass&amp;CardChoice'!$B$15)),D120,0),0))</f>
        <v>0</v>
      </c>
      <c r="G120" s="9"/>
      <c r="H120" s="1">
        <f>CHOOSE('Rental type'!A6,'Ticket Prices'!$F$22,'Ticket Prices'!$F$31,0)</f>
        <v>0</v>
      </c>
      <c r="I120" s="1">
        <f t="shared" si="27"/>
        <v>0</v>
      </c>
      <c r="J120" s="1">
        <f t="shared" si="28"/>
        <v>0</v>
      </c>
      <c r="K120" s="4">
        <f aca="true" t="shared" si="29" ref="K120:K125">(C120*F120)+(G120*D120)+(C120*J120)+(G120*H120)</f>
        <v>0</v>
      </c>
    </row>
    <row r="121" spans="2:11" ht="12.75">
      <c r="B121" t="s">
        <v>39</v>
      </c>
      <c r="C121" s="60"/>
      <c r="D121" s="4">
        <f>D120</f>
        <v>63</v>
      </c>
      <c r="E121" s="4">
        <f>0.6*D121</f>
        <v>37.8</v>
      </c>
      <c r="F121" s="4">
        <f>IF('Pass&amp;CardChoice'!$B$39,D121-E121,IF('Pass&amp;CardChoice'!$B$40,IF(NOT(OR('Pass&amp;CardChoice'!$B$12,'Pass&amp;CardChoice'!$B$13,'Pass&amp;CardChoice'!$B$14,'Pass&amp;CardChoice'!$B$15)),D121,0),0))</f>
        <v>0</v>
      </c>
      <c r="G121" s="9"/>
      <c r="H121" s="1">
        <f>CHOOSE('Rental type'!A7,'Ticket Prices'!$F$22,'Ticket Prices'!$F$31,0)</f>
        <v>0</v>
      </c>
      <c r="I121" s="1">
        <f t="shared" si="27"/>
        <v>0</v>
      </c>
      <c r="J121" s="1">
        <f>H121-I121</f>
        <v>0</v>
      </c>
      <c r="K121" s="4">
        <f t="shared" si="29"/>
        <v>0</v>
      </c>
    </row>
    <row r="122" spans="2:11" ht="12.75">
      <c r="B122" t="s">
        <v>40</v>
      </c>
      <c r="C122" s="60"/>
      <c r="D122" s="4">
        <f>D121</f>
        <v>63</v>
      </c>
      <c r="E122" s="4">
        <f>0.6*D122</f>
        <v>37.8</v>
      </c>
      <c r="F122" s="4">
        <f>IF('Pass&amp;CardChoice'!$B$39,D122-E122,IF('Pass&amp;CardChoice'!$B$40,IF(NOT(OR('Pass&amp;CardChoice'!$B$12,'Pass&amp;CardChoice'!$B$13,'Pass&amp;CardChoice'!$B$14,'Pass&amp;CardChoice'!$B$15)),D122,0),0))</f>
        <v>0</v>
      </c>
      <c r="G122" s="9"/>
      <c r="H122" s="1">
        <f>CHOOSE('Rental type'!A8,'Ticket Prices'!$F$22,'Ticket Prices'!$F$31,0)</f>
        <v>0</v>
      </c>
      <c r="I122" s="1">
        <f t="shared" si="27"/>
        <v>0</v>
      </c>
      <c r="J122" s="1">
        <f>H122-I122</f>
        <v>0</v>
      </c>
      <c r="K122" s="4">
        <f t="shared" si="29"/>
        <v>0</v>
      </c>
    </row>
    <row r="123" spans="2:11" ht="12.75">
      <c r="B123" t="s">
        <v>27</v>
      </c>
      <c r="C123" s="60"/>
      <c r="D123" s="4">
        <f>'Ticket Prices'!F10</f>
        <v>52</v>
      </c>
      <c r="E123" s="4">
        <f aca="true" t="shared" si="30" ref="E123:E207">0.6*D123</f>
        <v>31.2</v>
      </c>
      <c r="F123" s="4">
        <f>IF('Pass&amp;CardChoice'!$B$39,D123-E123,IF('Pass&amp;CardChoice'!$B$40,IF(NOT(OR('Pass&amp;CardChoice'!$B$12,'Pass&amp;CardChoice'!$B$13,'Pass&amp;CardChoice'!$B$14,'Pass&amp;CardChoice'!$B$15)),D123,0),0))</f>
        <v>0</v>
      </c>
      <c r="G123" s="9"/>
      <c r="H123" s="1">
        <f>CHOOSE('Rental type'!A9,'Ticket Prices'!$F$22,'Ticket Prices'!$F$31,0)</f>
        <v>0</v>
      </c>
      <c r="I123" s="1">
        <f t="shared" si="27"/>
        <v>0</v>
      </c>
      <c r="J123" s="1">
        <f t="shared" si="28"/>
        <v>0</v>
      </c>
      <c r="K123" s="4">
        <f t="shared" si="29"/>
        <v>0</v>
      </c>
    </row>
    <row r="124" spans="2:11" ht="12.75">
      <c r="B124" t="s">
        <v>28</v>
      </c>
      <c r="C124" s="60"/>
      <c r="D124" s="4">
        <f>D123</f>
        <v>52</v>
      </c>
      <c r="E124" s="4">
        <f t="shared" si="30"/>
        <v>31.2</v>
      </c>
      <c r="F124" s="4">
        <f>IF('Pass&amp;CardChoice'!$B$39,D124-E124,IF('Pass&amp;CardChoice'!$B$40,IF(NOT(OR('Pass&amp;CardChoice'!$B$12,'Pass&amp;CardChoice'!$B$13,'Pass&amp;CardChoice'!$B$14,'Pass&amp;CardChoice'!$B$15)),D124,0),0))</f>
        <v>0</v>
      </c>
      <c r="G124" s="9"/>
      <c r="H124" s="1">
        <f>CHOOSE('Rental type'!A10,'Ticket Prices'!$F$22,'Ticket Prices'!$F$31,0)</f>
        <v>0</v>
      </c>
      <c r="I124" s="1">
        <f t="shared" si="27"/>
        <v>0</v>
      </c>
      <c r="J124" s="1">
        <f t="shared" si="28"/>
        <v>0</v>
      </c>
      <c r="K124" s="4">
        <f t="shared" si="29"/>
        <v>0</v>
      </c>
    </row>
    <row r="125" spans="2:11" ht="12.75">
      <c r="B125" t="s">
        <v>29</v>
      </c>
      <c r="C125" s="60"/>
      <c r="D125" s="4">
        <f>D124</f>
        <v>52</v>
      </c>
      <c r="E125" s="4">
        <f t="shared" si="30"/>
        <v>31.2</v>
      </c>
      <c r="F125" s="4">
        <f>IF('Pass&amp;CardChoice'!$B$39,D125-E125,IF('Pass&amp;CardChoice'!$B$40,IF(NOT(OR('Pass&amp;CardChoice'!$B$12,'Pass&amp;CardChoice'!$B$13,'Pass&amp;CardChoice'!$B$14,'Pass&amp;CardChoice'!$B$15)),D125,0),0))</f>
        <v>0</v>
      </c>
      <c r="G125" s="9"/>
      <c r="H125" s="1">
        <f>CHOOSE('Rental type'!A11,'Ticket Prices'!$F$22,'Ticket Prices'!$F$31,0)</f>
        <v>0</v>
      </c>
      <c r="I125" s="1">
        <f t="shared" si="27"/>
        <v>0</v>
      </c>
      <c r="J125" s="1">
        <f t="shared" si="28"/>
        <v>0</v>
      </c>
      <c r="K125" s="4">
        <f t="shared" si="29"/>
        <v>0</v>
      </c>
    </row>
    <row r="126" spans="2:11" ht="12.75">
      <c r="B126" t="s">
        <v>137</v>
      </c>
      <c r="C126" s="60"/>
      <c r="D126" s="4">
        <f>D119</f>
        <v>63</v>
      </c>
      <c r="E126" s="4">
        <f t="shared" si="30"/>
        <v>37.8</v>
      </c>
      <c r="F126" s="4">
        <f>IF('Pass&amp;CardChoice'!$B$39,D126-E126,IF('Pass&amp;CardChoice'!$B$40,IF(NOT(OR('Pass&amp;CardChoice'!$B$12,'Pass&amp;CardChoice'!$B$13,'Pass&amp;CardChoice'!$B$14,'Pass&amp;CardChoice'!$B$15)),D126,0),0))</f>
        <v>0</v>
      </c>
      <c r="G126" s="9"/>
      <c r="H126" s="1">
        <f>CHOOSE('Rental type'!A12,'Ticket Prices'!$F$22,'Ticket Prices'!$F$31,0)</f>
        <v>0</v>
      </c>
      <c r="I126" s="1">
        <f t="shared" si="27"/>
        <v>0</v>
      </c>
      <c r="J126" s="1">
        <f>H126-I126</f>
        <v>0</v>
      </c>
      <c r="K126" s="4">
        <f>(C126*F126)+(G126*D126)+(C126*J126)+(G126*H126)</f>
        <v>0</v>
      </c>
    </row>
    <row r="127" spans="2:11" ht="12.75">
      <c r="B127" t="s">
        <v>123</v>
      </c>
      <c r="C127" s="60"/>
      <c r="D127" s="4">
        <f>D119</f>
        <v>63</v>
      </c>
      <c r="E127" s="4">
        <f t="shared" si="30"/>
        <v>37.8</v>
      </c>
      <c r="F127" s="4">
        <f>IF('Pass&amp;CardChoice'!$B$7,D127-E127,0)</f>
        <v>0</v>
      </c>
      <c r="G127" s="31"/>
      <c r="H127" s="31"/>
      <c r="I127" s="31"/>
      <c r="J127" s="31"/>
      <c r="K127" s="4">
        <v>0</v>
      </c>
    </row>
    <row r="128" spans="2:11" ht="12.75">
      <c r="B128" t="s">
        <v>124</v>
      </c>
      <c r="C128" s="60"/>
      <c r="D128" s="4">
        <f>D123</f>
        <v>52</v>
      </c>
      <c r="E128" s="4">
        <f t="shared" si="30"/>
        <v>31.2</v>
      </c>
      <c r="F128" s="4">
        <f>IF('Pass&amp;CardChoice'!$B$7,D128-E128,0)</f>
        <v>0</v>
      </c>
      <c r="G128" s="31"/>
      <c r="H128" s="31"/>
      <c r="I128" s="31"/>
      <c r="J128" s="31"/>
      <c r="K128" s="4">
        <v>0</v>
      </c>
    </row>
    <row r="129" spans="1:11" ht="12.75">
      <c r="A129" t="s">
        <v>3</v>
      </c>
      <c r="D129" s="4"/>
      <c r="E129" s="4"/>
      <c r="K129" s="4"/>
    </row>
    <row r="130" spans="2:11" ht="12.75">
      <c r="B130" t="s">
        <v>25</v>
      </c>
      <c r="C130" s="60"/>
      <c r="D130" s="4">
        <f>'Ticket Prices'!F6</f>
        <v>58</v>
      </c>
      <c r="E130" s="4">
        <f t="shared" si="30"/>
        <v>34.8</v>
      </c>
      <c r="F130" s="4">
        <f>IF('Pass&amp;CardChoice'!$B$39,D130-E130,IF('Pass&amp;CardChoice'!$B$40,IF(NOT(OR('Pass&amp;CardChoice'!$B$12,'Pass&amp;CardChoice'!$B$13,'Pass&amp;CardChoice'!$B$14,'Pass&amp;CardChoice'!$B$15)),D130,0),0))</f>
        <v>0</v>
      </c>
      <c r="G130" s="9"/>
      <c r="H130" s="1">
        <f>CHOOSE('Rental type'!A5,'Ticket Prices'!$F$21,'Ticket Prices'!$F$30,0)</f>
        <v>0</v>
      </c>
      <c r="I130" s="1">
        <f t="shared" si="27"/>
        <v>0</v>
      </c>
      <c r="J130" s="1">
        <f aca="true" t="shared" si="31" ref="J130:J136">H130-I130</f>
        <v>0</v>
      </c>
      <c r="K130" s="4">
        <f aca="true" t="shared" si="32" ref="K130:K136">(C130*F130)+(G130*D130)+(C130*J130)+(G130*H130)</f>
        <v>0</v>
      </c>
    </row>
    <row r="131" spans="2:11" ht="12.75">
      <c r="B131" t="s">
        <v>26</v>
      </c>
      <c r="C131" s="60"/>
      <c r="D131" s="4">
        <f>D130</f>
        <v>58</v>
      </c>
      <c r="E131" s="4">
        <f t="shared" si="30"/>
        <v>34.8</v>
      </c>
      <c r="F131" s="4">
        <f>IF('Pass&amp;CardChoice'!$B$39,D131-E131,IF('Pass&amp;CardChoice'!$B$40,IF(NOT(OR('Pass&amp;CardChoice'!$B$12,'Pass&amp;CardChoice'!$B$13,'Pass&amp;CardChoice'!$B$14,'Pass&amp;CardChoice'!$B$15)),D131,0),0))</f>
        <v>0</v>
      </c>
      <c r="G131" s="9"/>
      <c r="H131" s="1">
        <f>CHOOSE('Rental type'!A6,'Ticket Prices'!$F$21,'Ticket Prices'!$F$30,0)</f>
        <v>0</v>
      </c>
      <c r="I131" s="1">
        <f t="shared" si="27"/>
        <v>0</v>
      </c>
      <c r="J131" s="1">
        <f t="shared" si="31"/>
        <v>0</v>
      </c>
      <c r="K131" s="4">
        <f t="shared" si="32"/>
        <v>0</v>
      </c>
    </row>
    <row r="132" spans="2:11" ht="12.75">
      <c r="B132" t="s">
        <v>39</v>
      </c>
      <c r="C132" s="60"/>
      <c r="D132" s="4">
        <f>D131</f>
        <v>58</v>
      </c>
      <c r="E132" s="4">
        <f t="shared" si="30"/>
        <v>34.8</v>
      </c>
      <c r="F132" s="4">
        <f>IF('Pass&amp;CardChoice'!$B$39,D132-E132,IF('Pass&amp;CardChoice'!$B$40,IF(NOT(OR('Pass&amp;CardChoice'!$B$12,'Pass&amp;CardChoice'!$B$13,'Pass&amp;CardChoice'!$B$14,'Pass&amp;CardChoice'!$B$15)),D132,0),0))</f>
        <v>0</v>
      </c>
      <c r="G132" s="9"/>
      <c r="H132" s="1">
        <f>CHOOSE('Rental type'!A7,'Ticket Prices'!$F$21,'Ticket Prices'!$F$30,0)</f>
        <v>0</v>
      </c>
      <c r="I132" s="1">
        <f t="shared" si="27"/>
        <v>0</v>
      </c>
      <c r="J132" s="1">
        <f>H132-I132</f>
        <v>0</v>
      </c>
      <c r="K132" s="4">
        <f t="shared" si="32"/>
        <v>0</v>
      </c>
    </row>
    <row r="133" spans="2:11" ht="12.75">
      <c r="B133" t="s">
        <v>40</v>
      </c>
      <c r="C133" s="60"/>
      <c r="D133" s="4">
        <f>D132</f>
        <v>58</v>
      </c>
      <c r="E133" s="4">
        <f t="shared" si="30"/>
        <v>34.8</v>
      </c>
      <c r="F133" s="4">
        <f>IF('Pass&amp;CardChoice'!$B$39,D133-E133,IF('Pass&amp;CardChoice'!$B$40,IF(NOT(OR('Pass&amp;CardChoice'!$B$12,'Pass&amp;CardChoice'!$B$13,'Pass&amp;CardChoice'!$B$14,'Pass&amp;CardChoice'!$B$15)),D133,0),0))</f>
        <v>0</v>
      </c>
      <c r="G133" s="9"/>
      <c r="H133" s="1">
        <f>CHOOSE('Rental type'!A8,'Ticket Prices'!$F$21,'Ticket Prices'!$F$30,0)</f>
        <v>0</v>
      </c>
      <c r="I133" s="1">
        <f t="shared" si="27"/>
        <v>0</v>
      </c>
      <c r="J133" s="1">
        <f>H133-I133</f>
        <v>0</v>
      </c>
      <c r="K133" s="4">
        <f t="shared" si="32"/>
        <v>0</v>
      </c>
    </row>
    <row r="134" spans="2:11" ht="12.75">
      <c r="B134" t="s">
        <v>27</v>
      </c>
      <c r="C134" s="60"/>
      <c r="D134" s="4">
        <f>'Ticket Prices'!F10</f>
        <v>52</v>
      </c>
      <c r="E134" s="4">
        <f t="shared" si="30"/>
        <v>31.2</v>
      </c>
      <c r="F134" s="4">
        <f>IF('Pass&amp;CardChoice'!$B$39,D134-E134,IF('Pass&amp;CardChoice'!$B$40,IF(NOT(OR('Pass&amp;CardChoice'!$B$12,'Pass&amp;CardChoice'!$B$13,'Pass&amp;CardChoice'!$B$14,'Pass&amp;CardChoice'!$B$15)),D134,0),0))</f>
        <v>0</v>
      </c>
      <c r="G134" s="9"/>
      <c r="H134" s="1">
        <f>CHOOSE('Rental type'!A9,'Ticket Prices'!$F$21,'Ticket Prices'!$F$30,0)</f>
        <v>0</v>
      </c>
      <c r="I134" s="1">
        <f t="shared" si="27"/>
        <v>0</v>
      </c>
      <c r="J134" s="1">
        <f t="shared" si="31"/>
        <v>0</v>
      </c>
      <c r="K134" s="4">
        <f t="shared" si="32"/>
        <v>0</v>
      </c>
    </row>
    <row r="135" spans="2:11" ht="12.75">
      <c r="B135" t="s">
        <v>28</v>
      </c>
      <c r="C135" s="60"/>
      <c r="D135" s="4">
        <f>D134</f>
        <v>52</v>
      </c>
      <c r="E135" s="4">
        <f t="shared" si="30"/>
        <v>31.2</v>
      </c>
      <c r="F135" s="4">
        <f>IF('Pass&amp;CardChoice'!$B$39,D135-E135,IF('Pass&amp;CardChoice'!$B$40,IF(NOT(OR('Pass&amp;CardChoice'!$B$12,'Pass&amp;CardChoice'!$B$13,'Pass&amp;CardChoice'!$B$14,'Pass&amp;CardChoice'!$B$15)),D135,0),0))</f>
        <v>0</v>
      </c>
      <c r="G135" s="9"/>
      <c r="H135" s="1">
        <f>CHOOSE('Rental type'!A10,'Ticket Prices'!$F$21,'Ticket Prices'!$F$30,0)</f>
        <v>0</v>
      </c>
      <c r="I135" s="1">
        <f t="shared" si="27"/>
        <v>0</v>
      </c>
      <c r="J135" s="1">
        <f t="shared" si="31"/>
        <v>0</v>
      </c>
      <c r="K135" s="4">
        <f t="shared" si="32"/>
        <v>0</v>
      </c>
    </row>
    <row r="136" spans="2:11" ht="12.75">
      <c r="B136" t="s">
        <v>29</v>
      </c>
      <c r="C136" s="60"/>
      <c r="D136" s="4">
        <f>D135</f>
        <v>52</v>
      </c>
      <c r="E136" s="4">
        <f t="shared" si="30"/>
        <v>31.2</v>
      </c>
      <c r="F136" s="4">
        <f>IF('Pass&amp;CardChoice'!$B$39,D136-E136,IF('Pass&amp;CardChoice'!$B$40,IF(NOT(OR('Pass&amp;CardChoice'!$B$12,'Pass&amp;CardChoice'!$B$13,'Pass&amp;CardChoice'!$B$14,'Pass&amp;CardChoice'!$B$15)),D136,0),0))</f>
        <v>0</v>
      </c>
      <c r="G136" s="9"/>
      <c r="H136" s="1">
        <f>CHOOSE('Rental type'!A11,'Ticket Prices'!$F$21,'Ticket Prices'!$F$30,0)</f>
        <v>0</v>
      </c>
      <c r="I136" s="1">
        <f t="shared" si="27"/>
        <v>0</v>
      </c>
      <c r="J136" s="1">
        <f t="shared" si="31"/>
        <v>0</v>
      </c>
      <c r="K136" s="4">
        <f t="shared" si="32"/>
        <v>0</v>
      </c>
    </row>
    <row r="137" spans="2:11" ht="12.75">
      <c r="B137" t="s">
        <v>137</v>
      </c>
      <c r="C137" s="60"/>
      <c r="D137" s="4">
        <f>D130</f>
        <v>58</v>
      </c>
      <c r="E137" s="4">
        <f t="shared" si="30"/>
        <v>34.8</v>
      </c>
      <c r="F137" s="4">
        <f>IF('Pass&amp;CardChoice'!$B$39,D137-E137,IF('Pass&amp;CardChoice'!$B$40,IF(NOT(OR('Pass&amp;CardChoice'!$B$12,'Pass&amp;CardChoice'!$B$13,'Pass&amp;CardChoice'!$B$14,'Pass&amp;CardChoice'!$B$15)),D137,0),0))</f>
        <v>0</v>
      </c>
      <c r="G137" s="9"/>
      <c r="H137" s="1">
        <f>CHOOSE('Rental type'!A12,'Ticket Prices'!$F$21,'Ticket Prices'!$F$30,0)</f>
        <v>0</v>
      </c>
      <c r="I137" s="1">
        <f t="shared" si="27"/>
        <v>0</v>
      </c>
      <c r="J137" s="1">
        <f>H137-I137</f>
        <v>0</v>
      </c>
      <c r="K137" s="4">
        <f>(C137*F137)+(G137*D137)+(C137*J137)+(G137*H137)</f>
        <v>0</v>
      </c>
    </row>
    <row r="138" spans="2:11" ht="12.75">
      <c r="B138" t="s">
        <v>123</v>
      </c>
      <c r="C138" s="60"/>
      <c r="D138" s="4">
        <f>D130</f>
        <v>58</v>
      </c>
      <c r="E138" s="4">
        <f t="shared" si="30"/>
        <v>34.8</v>
      </c>
      <c r="F138" s="4">
        <f>IF('Pass&amp;CardChoice'!$B$7,D138-E138,0)</f>
        <v>0</v>
      </c>
      <c r="G138" s="31"/>
      <c r="H138" s="31"/>
      <c r="I138" s="31"/>
      <c r="J138" s="31"/>
      <c r="K138" s="4">
        <v>0</v>
      </c>
    </row>
    <row r="139" spans="2:11" ht="12.75">
      <c r="B139" t="s">
        <v>124</v>
      </c>
      <c r="C139" s="60"/>
      <c r="D139" s="4">
        <f>D134</f>
        <v>52</v>
      </c>
      <c r="E139" s="4">
        <f t="shared" si="30"/>
        <v>31.2</v>
      </c>
      <c r="F139" s="4">
        <f>IF('Pass&amp;CardChoice'!$B$7,D139-E139,0)</f>
        <v>0</v>
      </c>
      <c r="G139" s="31"/>
      <c r="H139" s="31"/>
      <c r="I139" s="31"/>
      <c r="J139" s="31"/>
      <c r="K139" s="4">
        <v>0</v>
      </c>
    </row>
    <row r="140" spans="1:11" ht="12.75">
      <c r="A140" t="s">
        <v>4</v>
      </c>
      <c r="D140" s="4"/>
      <c r="E140" s="4"/>
      <c r="K140" s="4"/>
    </row>
    <row r="141" spans="2:11" ht="12.75">
      <c r="B141" t="s">
        <v>25</v>
      </c>
      <c r="C141" s="60"/>
      <c r="D141" s="4">
        <f>'Ticket Prices'!F5</f>
        <v>52</v>
      </c>
      <c r="E141" s="4">
        <f t="shared" si="30"/>
        <v>31.2</v>
      </c>
      <c r="F141" s="4">
        <f>IF('Pass&amp;CardChoice'!$B$39,D141-E141,IF('Pass&amp;CardChoice'!$B$40,IF(NOT(OR('Pass&amp;CardChoice'!$B$12,'Pass&amp;CardChoice'!$B$13,'Pass&amp;CardChoice'!$B$14,'Pass&amp;CardChoice'!$B$15)),D141,0),0))</f>
        <v>0</v>
      </c>
      <c r="G141" s="9"/>
      <c r="H141" s="1">
        <f>CHOOSE('Rental type'!A5,'Ticket Prices'!$F$20,'Ticket Prices'!$F$29,0)</f>
        <v>0</v>
      </c>
      <c r="I141" s="1">
        <f t="shared" si="27"/>
        <v>0</v>
      </c>
      <c r="J141" s="1">
        <f aca="true" t="shared" si="33" ref="J141:J147">H141-I141</f>
        <v>0</v>
      </c>
      <c r="K141" s="4">
        <f aca="true" t="shared" si="34" ref="K141:K147">(C141*F141)+(G141*D141)+(C141*J141)+(G141*H141)</f>
        <v>0</v>
      </c>
    </row>
    <row r="142" spans="2:11" ht="12.75">
      <c r="B142" t="s">
        <v>26</v>
      </c>
      <c r="C142" s="60"/>
      <c r="D142" s="4">
        <f>D141</f>
        <v>52</v>
      </c>
      <c r="E142" s="4">
        <f t="shared" si="30"/>
        <v>31.2</v>
      </c>
      <c r="F142" s="4">
        <f>IF('Pass&amp;CardChoice'!$B$39,D142-E142,IF('Pass&amp;CardChoice'!$B$40,IF(NOT(OR('Pass&amp;CardChoice'!$B$12,'Pass&amp;CardChoice'!$B$13,'Pass&amp;CardChoice'!$B$14,'Pass&amp;CardChoice'!$B$15)),D142,0),0))</f>
        <v>0</v>
      </c>
      <c r="G142" s="9"/>
      <c r="H142" s="1">
        <f>CHOOSE('Rental type'!A6,'Ticket Prices'!$F$20,'Ticket Prices'!$F$29,0)</f>
        <v>0</v>
      </c>
      <c r="I142" s="1">
        <f t="shared" si="27"/>
        <v>0</v>
      </c>
      <c r="J142" s="1">
        <f t="shared" si="33"/>
        <v>0</v>
      </c>
      <c r="K142" s="4">
        <f t="shared" si="34"/>
        <v>0</v>
      </c>
    </row>
    <row r="143" spans="2:11" ht="12.75">
      <c r="B143" t="s">
        <v>39</v>
      </c>
      <c r="C143" s="60"/>
      <c r="D143" s="4">
        <f>D142</f>
        <v>52</v>
      </c>
      <c r="E143" s="4">
        <f t="shared" si="30"/>
        <v>31.2</v>
      </c>
      <c r="F143" s="4">
        <f>IF('Pass&amp;CardChoice'!$B$39,D143-E143,IF('Pass&amp;CardChoice'!$B$40,IF(NOT(OR('Pass&amp;CardChoice'!$B$12,'Pass&amp;CardChoice'!$B$13,'Pass&amp;CardChoice'!$B$14,'Pass&amp;CardChoice'!$B$15)),D143,0),0))</f>
        <v>0</v>
      </c>
      <c r="G143" s="9"/>
      <c r="H143" s="1">
        <f>CHOOSE('Rental type'!A7,'Ticket Prices'!$F$20,'Ticket Prices'!$F$29,0)</f>
        <v>0</v>
      </c>
      <c r="I143" s="1">
        <f t="shared" si="27"/>
        <v>0</v>
      </c>
      <c r="J143" s="1">
        <f>H143-I143</f>
        <v>0</v>
      </c>
      <c r="K143" s="4">
        <f t="shared" si="34"/>
        <v>0</v>
      </c>
    </row>
    <row r="144" spans="2:11" ht="12.75">
      <c r="B144" t="s">
        <v>40</v>
      </c>
      <c r="C144" s="60"/>
      <c r="D144" s="4">
        <f>D143</f>
        <v>52</v>
      </c>
      <c r="E144" s="4">
        <f t="shared" si="30"/>
        <v>31.2</v>
      </c>
      <c r="F144" s="4">
        <f>IF('Pass&amp;CardChoice'!$B$39,D144-E144,IF('Pass&amp;CardChoice'!$B$40,IF(NOT(OR('Pass&amp;CardChoice'!$B$12,'Pass&amp;CardChoice'!$B$13,'Pass&amp;CardChoice'!$B$14,'Pass&amp;CardChoice'!$B$15)),D144,0),0))</f>
        <v>0</v>
      </c>
      <c r="G144" s="9"/>
      <c r="H144" s="1">
        <f>CHOOSE('Rental type'!A8,'Ticket Prices'!$F$20,'Ticket Prices'!$F$29,0)</f>
        <v>0</v>
      </c>
      <c r="I144" s="1">
        <f t="shared" si="27"/>
        <v>0</v>
      </c>
      <c r="J144" s="1">
        <f>H144-I144</f>
        <v>0</v>
      </c>
      <c r="K144" s="4">
        <f t="shared" si="34"/>
        <v>0</v>
      </c>
    </row>
    <row r="145" spans="2:11" ht="12.75">
      <c r="B145" t="s">
        <v>27</v>
      </c>
      <c r="C145" s="60"/>
      <c r="D145" s="4">
        <f>'Ticket Prices'!F9</f>
        <v>46</v>
      </c>
      <c r="E145" s="4">
        <f t="shared" si="30"/>
        <v>27.599999999999998</v>
      </c>
      <c r="F145" s="4">
        <f>IF('Pass&amp;CardChoice'!$B$39,D145-E145,IF('Pass&amp;CardChoice'!$B$40,IF(NOT(OR('Pass&amp;CardChoice'!$B$12,'Pass&amp;CardChoice'!$B$13,'Pass&amp;CardChoice'!$B$14,'Pass&amp;CardChoice'!$B$15)),D145,0),0))</f>
        <v>0</v>
      </c>
      <c r="G145" s="9"/>
      <c r="H145" s="1">
        <f>CHOOSE('Rental type'!A9,'Ticket Prices'!$F$20,'Ticket Prices'!$F$29,0)</f>
        <v>0</v>
      </c>
      <c r="I145" s="1">
        <f t="shared" si="27"/>
        <v>0</v>
      </c>
      <c r="J145" s="1">
        <f t="shared" si="33"/>
        <v>0</v>
      </c>
      <c r="K145" s="4">
        <f t="shared" si="34"/>
        <v>0</v>
      </c>
    </row>
    <row r="146" spans="2:11" ht="12.75">
      <c r="B146" t="s">
        <v>28</v>
      </c>
      <c r="C146" s="60"/>
      <c r="D146" s="4">
        <f>D145</f>
        <v>46</v>
      </c>
      <c r="E146" s="4">
        <f t="shared" si="30"/>
        <v>27.599999999999998</v>
      </c>
      <c r="F146" s="4">
        <f>IF('Pass&amp;CardChoice'!$B$39,D146-E146,IF('Pass&amp;CardChoice'!$B$40,IF(NOT(OR('Pass&amp;CardChoice'!$B$12,'Pass&amp;CardChoice'!$B$13,'Pass&amp;CardChoice'!$B$14,'Pass&amp;CardChoice'!$B$15)),D146,0),0))</f>
        <v>0</v>
      </c>
      <c r="G146" s="9"/>
      <c r="H146" s="1">
        <f>CHOOSE('Rental type'!A10,'Ticket Prices'!$F$20,'Ticket Prices'!$F$29,0)</f>
        <v>0</v>
      </c>
      <c r="I146" s="1">
        <f t="shared" si="27"/>
        <v>0</v>
      </c>
      <c r="J146" s="1">
        <f t="shared" si="33"/>
        <v>0</v>
      </c>
      <c r="K146" s="4">
        <f t="shared" si="34"/>
        <v>0</v>
      </c>
    </row>
    <row r="147" spans="2:11" ht="12.75">
      <c r="B147" t="s">
        <v>29</v>
      </c>
      <c r="C147" s="60"/>
      <c r="D147" s="4">
        <f>D146</f>
        <v>46</v>
      </c>
      <c r="E147" s="4">
        <f t="shared" si="30"/>
        <v>27.599999999999998</v>
      </c>
      <c r="F147" s="4">
        <f>IF('Pass&amp;CardChoice'!$B$39,D147-E147,IF('Pass&amp;CardChoice'!$B$40,IF(NOT(OR('Pass&amp;CardChoice'!$B$12,'Pass&amp;CardChoice'!$B$13,'Pass&amp;CardChoice'!$B$14,'Pass&amp;CardChoice'!$B$15)),D147,0),0))</f>
        <v>0</v>
      </c>
      <c r="G147" s="9"/>
      <c r="H147" s="1">
        <f>CHOOSE('Rental type'!A11,'Ticket Prices'!$F$20,'Ticket Prices'!$F$29,0)</f>
        <v>0</v>
      </c>
      <c r="I147" s="1">
        <f t="shared" si="27"/>
        <v>0</v>
      </c>
      <c r="J147" s="1">
        <f t="shared" si="33"/>
        <v>0</v>
      </c>
      <c r="K147" s="4">
        <f t="shared" si="34"/>
        <v>0</v>
      </c>
    </row>
    <row r="148" spans="2:11" ht="12.75">
      <c r="B148" t="s">
        <v>137</v>
      </c>
      <c r="C148" s="60"/>
      <c r="D148" s="4">
        <f>D141</f>
        <v>52</v>
      </c>
      <c r="E148" s="4">
        <f t="shared" si="30"/>
        <v>31.2</v>
      </c>
      <c r="F148" s="4">
        <f>IF('Pass&amp;CardChoice'!$B$39,D148-E148,IF('Pass&amp;CardChoice'!$B$40,IF(NOT(OR('Pass&amp;CardChoice'!$B$12,'Pass&amp;CardChoice'!$B$13,'Pass&amp;CardChoice'!$B$14,'Pass&amp;CardChoice'!$B$15)),D148,0),0))</f>
        <v>0</v>
      </c>
      <c r="G148" s="9"/>
      <c r="H148" s="1">
        <f>CHOOSE('Rental type'!A12,'Ticket Prices'!$F$20,'Ticket Prices'!$F$29,0)</f>
        <v>0</v>
      </c>
      <c r="I148" s="1">
        <f t="shared" si="27"/>
        <v>0</v>
      </c>
      <c r="J148" s="1">
        <f>H148-I148</f>
        <v>0</v>
      </c>
      <c r="K148" s="4">
        <f>(C148*F148)+(G148*D148)+(C148*J148)+(G148*H148)</f>
        <v>0</v>
      </c>
    </row>
    <row r="149" spans="2:11" ht="12.75">
      <c r="B149" t="s">
        <v>123</v>
      </c>
      <c r="C149" s="60"/>
      <c r="D149" s="4">
        <f>D141</f>
        <v>52</v>
      </c>
      <c r="E149" s="4">
        <f t="shared" si="30"/>
        <v>31.2</v>
      </c>
      <c r="F149" s="4">
        <f>IF('Pass&amp;CardChoice'!$B$7,D149-E149,0)</f>
        <v>0</v>
      </c>
      <c r="G149" s="31"/>
      <c r="H149" s="31"/>
      <c r="I149" s="31"/>
      <c r="J149" s="31"/>
      <c r="K149" s="4">
        <v>0</v>
      </c>
    </row>
    <row r="150" spans="2:11" ht="12.75">
      <c r="B150" t="s">
        <v>124</v>
      </c>
      <c r="C150" s="60"/>
      <c r="D150" s="4">
        <f>D145</f>
        <v>46</v>
      </c>
      <c r="E150" s="4">
        <f t="shared" si="30"/>
        <v>27.599999999999998</v>
      </c>
      <c r="F150" s="4">
        <f>IF('Pass&amp;CardChoice'!$B$7,D150-E150,0)</f>
        <v>0</v>
      </c>
      <c r="G150" s="31"/>
      <c r="H150" s="31"/>
      <c r="I150" s="31"/>
      <c r="J150" s="31"/>
      <c r="K150" s="4">
        <v>0</v>
      </c>
    </row>
    <row r="151" spans="1:11" ht="12.75">
      <c r="A151" t="s">
        <v>7</v>
      </c>
      <c r="D151" s="4"/>
      <c r="E151" s="4"/>
      <c r="K151" s="4"/>
    </row>
    <row r="152" spans="2:11" ht="12.75">
      <c r="B152" t="s">
        <v>25</v>
      </c>
      <c r="C152" s="60"/>
      <c r="D152" s="4">
        <f>'Ticket Prices'!F4</f>
        <v>38</v>
      </c>
      <c r="E152" s="4">
        <f aca="true" t="shared" si="35" ref="E152:E158">0.6*D152</f>
        <v>22.8</v>
      </c>
      <c r="F152" s="4">
        <f>IF('Pass&amp;CardChoice'!$B$41,D152,IF('Pass&amp;CardChoice'!$B$39,D152-E152,IF('Pass&amp;CardChoice'!$B$40,IF(NOT(OR('Pass&amp;CardChoice'!$B$12,'Pass&amp;CardChoice'!$B$13,'Pass&amp;CardChoice'!$B$14)),D152,0),0)))</f>
        <v>0</v>
      </c>
      <c r="G152" s="9"/>
      <c r="H152" s="1">
        <f>IF('Pass&amp;CardChoice'!$B$25,'Ticket Prices'!B101,IF('Pass&amp;CardChoice'!$B$26,'Ticket Prices'!$B$28,CHOOSE('Rental type'!A5,'Ticket Prices'!$B$19,'Ticket Prices'!$B$28,0)))</f>
        <v>0</v>
      </c>
      <c r="I152" s="1">
        <f t="shared" si="27"/>
        <v>0</v>
      </c>
      <c r="J152" s="1">
        <f>IF(OR('Pass&amp;CardChoice'!$B$25,'Pass&amp;CardChoice'!$B$26),H152,H152-I152)</f>
        <v>0</v>
      </c>
      <c r="K152" s="4">
        <f aca="true" t="shared" si="36" ref="K152:K158">(C152*F152)+(G152*D152)+(C152*J152)+(G152*H152)</f>
        <v>0</v>
      </c>
    </row>
    <row r="153" spans="2:11" ht="12.75">
      <c r="B153" t="s">
        <v>26</v>
      </c>
      <c r="C153" s="60"/>
      <c r="D153" s="4">
        <f>D152</f>
        <v>38</v>
      </c>
      <c r="E153" s="4">
        <f t="shared" si="35"/>
        <v>22.8</v>
      </c>
      <c r="F153" s="4">
        <f>IF('Pass&amp;CardChoice'!$B$39,D153-E153,IF('Pass&amp;CardChoice'!$B$40,IF(NOT(OR('Pass&amp;CardChoice'!$B$12,'Pass&amp;CardChoice'!$B$13,'Pass&amp;CardChoice'!$B$14,'Pass&amp;CardChoice'!$B$15)),D153,0),0))</f>
        <v>0</v>
      </c>
      <c r="G153" s="9"/>
      <c r="H153" s="1">
        <f>IF('Pass&amp;CardChoice'!$B$25,'Ticket Prices'!B102,IF('Pass&amp;CardChoice'!$B$26,'Ticket Prices'!$B$28,CHOOSE('Rental type'!A6,'Ticket Prices'!$B$19,'Ticket Prices'!$B$28,0)))</f>
        <v>0</v>
      </c>
      <c r="I153" s="1">
        <f>0.6*H153</f>
        <v>0</v>
      </c>
      <c r="J153" s="1">
        <f aca="true" t="shared" si="37" ref="J153:J158">H153-I153</f>
        <v>0</v>
      </c>
      <c r="K153" s="4">
        <f t="shared" si="36"/>
        <v>0</v>
      </c>
    </row>
    <row r="154" spans="2:11" ht="12.75">
      <c r="B154" t="s">
        <v>39</v>
      </c>
      <c r="C154" s="60"/>
      <c r="D154" s="4">
        <f>D153</f>
        <v>38</v>
      </c>
      <c r="E154" s="4">
        <f t="shared" si="35"/>
        <v>22.8</v>
      </c>
      <c r="F154" s="4">
        <f>IF('Pass&amp;CardChoice'!$B$39,D154-E154,IF('Pass&amp;CardChoice'!$B$40,IF(NOT(OR('Pass&amp;CardChoice'!$B$12,'Pass&amp;CardChoice'!$B$13,'Pass&amp;CardChoice'!$B$14,'Pass&amp;CardChoice'!$B$15)),D154,0),0))</f>
        <v>0</v>
      </c>
      <c r="G154" s="9"/>
      <c r="H154" s="1">
        <f>IF('Pass&amp;CardChoice'!$B$25,'Ticket Prices'!B103,IF('Pass&amp;CardChoice'!$B$26,'Ticket Prices'!$B$28,CHOOSE('Rental type'!A7,'Ticket Prices'!$B$19,'Ticket Prices'!$B$28,0)))</f>
        <v>0</v>
      </c>
      <c r="I154" s="1">
        <f t="shared" si="27"/>
        <v>0</v>
      </c>
      <c r="J154" s="1">
        <f>H154-I154</f>
        <v>0</v>
      </c>
      <c r="K154" s="4">
        <f t="shared" si="36"/>
        <v>0</v>
      </c>
    </row>
    <row r="155" spans="2:11" ht="12.75">
      <c r="B155" t="s">
        <v>40</v>
      </c>
      <c r="C155" s="60"/>
      <c r="D155" s="4">
        <f>D154</f>
        <v>38</v>
      </c>
      <c r="E155" s="4">
        <f t="shared" si="35"/>
        <v>22.8</v>
      </c>
      <c r="F155" s="4">
        <f>IF('Pass&amp;CardChoice'!$B$39,D155-E155,IF('Pass&amp;CardChoice'!$B$40,IF(NOT(OR('Pass&amp;CardChoice'!$B$12,'Pass&amp;CardChoice'!$B$13,'Pass&amp;CardChoice'!$B$14,'Pass&amp;CardChoice'!$B$15)),D155,0),0))</f>
        <v>0</v>
      </c>
      <c r="G155" s="9"/>
      <c r="H155" s="1">
        <f>IF('Pass&amp;CardChoice'!$B$25,'Ticket Prices'!B104,IF('Pass&amp;CardChoice'!$B$26,'Ticket Prices'!$B$28,CHOOSE('Rental type'!A8,'Ticket Prices'!$B$19,'Ticket Prices'!$B$28,0)))</f>
        <v>0</v>
      </c>
      <c r="I155" s="1">
        <f>0.6*H155</f>
        <v>0</v>
      </c>
      <c r="J155" s="1">
        <f>H155-I155</f>
        <v>0</v>
      </c>
      <c r="K155" s="4">
        <f t="shared" si="36"/>
        <v>0</v>
      </c>
    </row>
    <row r="156" spans="2:11" ht="12.75">
      <c r="B156" t="s">
        <v>27</v>
      </c>
      <c r="C156" s="60"/>
      <c r="D156" s="4">
        <f>'Ticket Prices'!F8</f>
        <v>32</v>
      </c>
      <c r="E156" s="4">
        <f t="shared" si="35"/>
        <v>19.2</v>
      </c>
      <c r="F156" s="4">
        <f>IF('Pass&amp;CardChoice'!$B$41,D156,IF('Pass&amp;CardChoice'!$B$39,D156-E156,IF('Pass&amp;CardChoice'!$B$40,IF(NOT(OR('Pass&amp;CardChoice'!$B$12,'Pass&amp;CardChoice'!$B$13,'Pass&amp;CardChoice'!$B$14)),D156,0),0)))</f>
        <v>0</v>
      </c>
      <c r="G156" s="9"/>
      <c r="H156" s="1">
        <f>IF('Pass&amp;CardChoice'!$B$25,'Ticket Prices'!B105,IF('Pass&amp;CardChoice'!$B$26,'Ticket Prices'!$B$28,CHOOSE('Rental type'!A9,'Ticket Prices'!$B$19,'Ticket Prices'!$B$28,0)))</f>
        <v>0</v>
      </c>
      <c r="I156" s="1">
        <f>0.6*H156</f>
        <v>0</v>
      </c>
      <c r="J156" s="1">
        <f>IF(OR('Pass&amp;CardChoice'!$B$25,'Pass&amp;CardChoice'!$B$26),H156,H156-I156)</f>
        <v>0</v>
      </c>
      <c r="K156" s="4">
        <f t="shared" si="36"/>
        <v>0</v>
      </c>
    </row>
    <row r="157" spans="2:11" ht="12.75">
      <c r="B157" t="s">
        <v>28</v>
      </c>
      <c r="C157" s="60"/>
      <c r="D157" s="4">
        <f>D156</f>
        <v>32</v>
      </c>
      <c r="E157" s="4">
        <f t="shared" si="35"/>
        <v>19.2</v>
      </c>
      <c r="F157" s="4">
        <f>IF('Pass&amp;CardChoice'!$B$39,D157-E157,IF('Pass&amp;CardChoice'!$B$40,IF(NOT(OR('Pass&amp;CardChoice'!$B$12,'Pass&amp;CardChoice'!$B$13,'Pass&amp;CardChoice'!$B$14,'Pass&amp;CardChoice'!$B$15)),D157,0),0))</f>
        <v>0</v>
      </c>
      <c r="G157" s="9"/>
      <c r="H157" s="1">
        <f>IF('Pass&amp;CardChoice'!$B$25,'Ticket Prices'!B106,IF('Pass&amp;CardChoice'!$B$26,'Ticket Prices'!$B$28,CHOOSE('Rental type'!A10,'Ticket Prices'!$B$19,'Ticket Prices'!$B$28,0)))</f>
        <v>0</v>
      </c>
      <c r="I157" s="1">
        <f aca="true" t="shared" si="38" ref="I157:I192">0.6*H157</f>
        <v>0</v>
      </c>
      <c r="J157" s="1">
        <f t="shared" si="37"/>
        <v>0</v>
      </c>
      <c r="K157" s="4">
        <f t="shared" si="36"/>
        <v>0</v>
      </c>
    </row>
    <row r="158" spans="2:11" ht="12.75">
      <c r="B158" t="s">
        <v>29</v>
      </c>
      <c r="C158" s="60"/>
      <c r="D158" s="4">
        <f>D157</f>
        <v>32</v>
      </c>
      <c r="E158" s="4">
        <f t="shared" si="35"/>
        <v>19.2</v>
      </c>
      <c r="F158" s="4">
        <f>IF('Pass&amp;CardChoice'!$B$39,D158-E158,IF('Pass&amp;CardChoice'!$B$40,IF(NOT(OR('Pass&amp;CardChoice'!$B$12,'Pass&amp;CardChoice'!$B$13,'Pass&amp;CardChoice'!$B$14,'Pass&amp;CardChoice'!$B$15)),D158,0),0))</f>
        <v>0</v>
      </c>
      <c r="G158" s="9"/>
      <c r="H158" s="1">
        <f>IF('Pass&amp;CardChoice'!$B$25,'Ticket Prices'!B107,IF('Pass&amp;CardChoice'!$B$26,'Ticket Prices'!$B$28,CHOOSE('Rental type'!A11,'Ticket Prices'!$B$19,'Ticket Prices'!$B$28,0)))</f>
        <v>0</v>
      </c>
      <c r="I158" s="1">
        <f t="shared" si="38"/>
        <v>0</v>
      </c>
      <c r="J158" s="1">
        <f t="shared" si="37"/>
        <v>0</v>
      </c>
      <c r="K158" s="4">
        <f t="shared" si="36"/>
        <v>0</v>
      </c>
    </row>
    <row r="159" spans="2:11" ht="12.75">
      <c r="B159" t="s">
        <v>137</v>
      </c>
      <c r="C159" s="60"/>
      <c r="D159" s="4">
        <f>D152/2</f>
        <v>19</v>
      </c>
      <c r="E159" s="4">
        <f>D159</f>
        <v>19</v>
      </c>
      <c r="F159" s="4">
        <f>IF('Pass&amp;CardChoice'!$B$41,D159,IF('Pass&amp;CardChoice'!$B$39,D159-E159,IF('Pass&amp;CardChoice'!$B$40,IF(NOT(OR('Pass&amp;CardChoice'!$B$12,'Pass&amp;CardChoice'!$B$13,'Pass&amp;CardChoice'!$B$14)),D159,0),0)))</f>
        <v>0</v>
      </c>
      <c r="G159" s="9"/>
      <c r="H159" s="1">
        <f>IF('Pass&amp;CardChoice'!$B$25,'Ticket Prices'!B108,IF('Pass&amp;CardChoice'!$B$26,'Ticket Prices'!$B$28,CHOOSE('Rental type'!A12,'Ticket Prices'!$B$19,'Ticket Prices'!$B$28,0)))</f>
        <v>0</v>
      </c>
      <c r="I159" s="1">
        <f t="shared" si="38"/>
        <v>0</v>
      </c>
      <c r="J159" s="1">
        <f>IF(OR('Pass&amp;CardChoice'!$B$25,'Pass&amp;CardChoice'!$B$26),H159,H159-I159)</f>
        <v>0</v>
      </c>
      <c r="K159" s="4">
        <f>(C159*F159)+(G159*D159)+(C159*J159)+(G159*H159)</f>
        <v>0</v>
      </c>
    </row>
    <row r="160" spans="2:11" ht="12.75">
      <c r="B160" t="s">
        <v>123</v>
      </c>
      <c r="C160" s="60"/>
      <c r="D160" s="4">
        <f>D152</f>
        <v>38</v>
      </c>
      <c r="E160" s="4">
        <f>0.6*D160</f>
        <v>22.8</v>
      </c>
      <c r="F160" s="4">
        <f>IF('Pass&amp;CardChoice'!$B$7,D160-E160,0)</f>
        <v>0</v>
      </c>
      <c r="G160" s="31"/>
      <c r="H160" s="31"/>
      <c r="I160" s="31"/>
      <c r="J160" s="31"/>
      <c r="K160" s="4">
        <v>0</v>
      </c>
    </row>
    <row r="161" spans="2:11" ht="12.75">
      <c r="B161" t="s">
        <v>124</v>
      </c>
      <c r="C161" s="60"/>
      <c r="D161" s="4">
        <f>D156</f>
        <v>32</v>
      </c>
      <c r="E161" s="4">
        <f>0.6*D161</f>
        <v>19.2</v>
      </c>
      <c r="F161" s="4">
        <f>IF('Pass&amp;CardChoice'!$B$7,D161-E161,0)</f>
        <v>0</v>
      </c>
      <c r="G161" s="31"/>
      <c r="H161" s="31"/>
      <c r="I161" s="31"/>
      <c r="J161" s="31"/>
      <c r="K161" s="4">
        <v>0</v>
      </c>
    </row>
    <row r="162" spans="1:11" ht="12.75">
      <c r="A162" t="s">
        <v>12</v>
      </c>
      <c r="D162" s="4"/>
      <c r="E162" s="4"/>
      <c r="K162" s="4"/>
    </row>
    <row r="163" spans="2:11" ht="12.75">
      <c r="B163" t="s">
        <v>25</v>
      </c>
      <c r="C163" s="60"/>
      <c r="D163" s="4">
        <f>'Ticket Prices'!E7</f>
        <v>55</v>
      </c>
      <c r="E163" s="4">
        <f>0.6*D163</f>
        <v>33</v>
      </c>
      <c r="F163" s="4">
        <f>IF('Pass&amp;CardChoice'!$B$39,D163-E163,IF('Pass&amp;CardChoice'!$B$40,IF(NOT(OR('Pass&amp;CardChoice'!$B$13,'Pass&amp;CardChoice'!$B$14,'Pass&amp;CardChoice'!$B$15)),D163,0),0))</f>
        <v>0</v>
      </c>
      <c r="G163" s="9"/>
      <c r="H163" s="1">
        <f>CHOOSE('Rental type'!A5,'Ticket Prices'!$E$22,'Ticket Prices'!$E$31,0)</f>
        <v>0</v>
      </c>
      <c r="I163" s="1">
        <f t="shared" si="38"/>
        <v>0</v>
      </c>
      <c r="J163" s="1">
        <f aca="true" t="shared" si="39" ref="J163:J169">H163-I163</f>
        <v>0</v>
      </c>
      <c r="K163" s="4">
        <f aca="true" t="shared" si="40" ref="K163:K169">(C163*F163)+(G163*D163)+(C163*J163)+(G163*H163)</f>
        <v>0</v>
      </c>
    </row>
    <row r="164" spans="2:11" ht="12.75">
      <c r="B164" t="s">
        <v>26</v>
      </c>
      <c r="C164" s="60"/>
      <c r="D164" s="4">
        <f>D163</f>
        <v>55</v>
      </c>
      <c r="E164" s="4">
        <f>0.6*D164</f>
        <v>33</v>
      </c>
      <c r="F164" s="4">
        <f>IF('Pass&amp;CardChoice'!$B$39,D164-E164,IF('Pass&amp;CardChoice'!$B$40,IF(NOT(OR('Pass&amp;CardChoice'!$B$13,'Pass&amp;CardChoice'!$B$14,'Pass&amp;CardChoice'!$B$15)),D164,0),0))</f>
        <v>0</v>
      </c>
      <c r="G164" s="9"/>
      <c r="H164" s="1">
        <f>CHOOSE('Rental type'!A6,'Ticket Prices'!$E$22,'Ticket Prices'!$E$31,0)</f>
        <v>0</v>
      </c>
      <c r="I164" s="1">
        <f t="shared" si="38"/>
        <v>0</v>
      </c>
      <c r="J164" s="1">
        <f t="shared" si="39"/>
        <v>0</v>
      </c>
      <c r="K164" s="4">
        <f t="shared" si="40"/>
        <v>0</v>
      </c>
    </row>
    <row r="165" spans="2:11" ht="12.75">
      <c r="B165" t="s">
        <v>39</v>
      </c>
      <c r="C165" s="60"/>
      <c r="D165" s="4">
        <f>D164</f>
        <v>55</v>
      </c>
      <c r="E165" s="4">
        <f>0.6*D165</f>
        <v>33</v>
      </c>
      <c r="F165" s="4">
        <f>IF('Pass&amp;CardChoice'!$B$39,D165-E165,IF('Pass&amp;CardChoice'!$B$40,IF(NOT(OR('Pass&amp;CardChoice'!$B$13,'Pass&amp;CardChoice'!$B$14,'Pass&amp;CardChoice'!$B$15)),D165,0),0))</f>
        <v>0</v>
      </c>
      <c r="G165" s="9"/>
      <c r="H165" s="1">
        <f>CHOOSE('Rental type'!A7,'Ticket Prices'!$E$22,'Ticket Prices'!$E$31,0)</f>
        <v>0</v>
      </c>
      <c r="I165" s="1">
        <f t="shared" si="38"/>
        <v>0</v>
      </c>
      <c r="J165" s="1">
        <f>H165-I165</f>
        <v>0</v>
      </c>
      <c r="K165" s="4">
        <f t="shared" si="40"/>
        <v>0</v>
      </c>
    </row>
    <row r="166" spans="2:11" ht="12.75">
      <c r="B166" t="s">
        <v>40</v>
      </c>
      <c r="C166" s="60"/>
      <c r="D166" s="4">
        <f>D165</f>
        <v>55</v>
      </c>
      <c r="E166" s="4">
        <f>0.6*D166</f>
        <v>33</v>
      </c>
      <c r="F166" s="4">
        <f>IF('Pass&amp;CardChoice'!$B$39,D166-E166,IF('Pass&amp;CardChoice'!$B$40,IF(NOT(OR('Pass&amp;CardChoice'!$B$13,'Pass&amp;CardChoice'!$B$14,'Pass&amp;CardChoice'!$B$15)),D166,0),0))</f>
        <v>0</v>
      </c>
      <c r="G166" s="9"/>
      <c r="H166" s="1">
        <f>CHOOSE('Rental type'!A8,'Ticket Prices'!$E$22,'Ticket Prices'!$E$31,0)</f>
        <v>0</v>
      </c>
      <c r="I166" s="1">
        <f t="shared" si="38"/>
        <v>0</v>
      </c>
      <c r="J166" s="1">
        <f>H166-I166</f>
        <v>0</v>
      </c>
      <c r="K166" s="4">
        <f t="shared" si="40"/>
        <v>0</v>
      </c>
    </row>
    <row r="167" spans="2:11" ht="12.75">
      <c r="B167" t="s">
        <v>27</v>
      </c>
      <c r="C167" s="60"/>
      <c r="D167" s="4">
        <f>'Ticket Prices'!E11</f>
        <v>47</v>
      </c>
      <c r="E167" s="4">
        <f t="shared" si="30"/>
        <v>28.2</v>
      </c>
      <c r="F167" s="4">
        <f>IF('Pass&amp;CardChoice'!$B$39,D167-E167,IF('Pass&amp;CardChoice'!$B$40,IF(NOT(OR('Pass&amp;CardChoice'!$B$13,'Pass&amp;CardChoice'!$B$14,'Pass&amp;CardChoice'!$B$15)),D167,0),0))</f>
        <v>0</v>
      </c>
      <c r="G167" s="9"/>
      <c r="H167" s="1">
        <f>CHOOSE('Rental type'!A9,'Ticket Prices'!$E$22,'Ticket Prices'!$E$31,0)</f>
        <v>0</v>
      </c>
      <c r="I167" s="1">
        <f t="shared" si="38"/>
        <v>0</v>
      </c>
      <c r="J167" s="1">
        <f t="shared" si="39"/>
        <v>0</v>
      </c>
      <c r="K167" s="4">
        <f t="shared" si="40"/>
        <v>0</v>
      </c>
    </row>
    <row r="168" spans="2:11" ht="12.75">
      <c r="B168" t="s">
        <v>28</v>
      </c>
      <c r="C168" s="60"/>
      <c r="D168" s="4">
        <f>D167</f>
        <v>47</v>
      </c>
      <c r="E168" s="4">
        <f t="shared" si="30"/>
        <v>28.2</v>
      </c>
      <c r="F168" s="4">
        <f>IF('Pass&amp;CardChoice'!$B$39,D168-E168,IF('Pass&amp;CardChoice'!$B$40,IF(NOT(OR('Pass&amp;CardChoice'!$B$13,'Pass&amp;CardChoice'!$B$14,'Pass&amp;CardChoice'!$B$15)),D168,0),0))</f>
        <v>0</v>
      </c>
      <c r="G168" s="9"/>
      <c r="H168" s="1">
        <f>CHOOSE('Rental type'!A10,'Ticket Prices'!$E$22,'Ticket Prices'!$E$31,0)</f>
        <v>0</v>
      </c>
      <c r="I168" s="1">
        <f t="shared" si="38"/>
        <v>0</v>
      </c>
      <c r="J168" s="1">
        <f t="shared" si="39"/>
        <v>0</v>
      </c>
      <c r="K168" s="4">
        <f t="shared" si="40"/>
        <v>0</v>
      </c>
    </row>
    <row r="169" spans="2:11" ht="12.75">
      <c r="B169" t="s">
        <v>29</v>
      </c>
      <c r="C169" s="60"/>
      <c r="D169" s="4">
        <f>D168</f>
        <v>47</v>
      </c>
      <c r="E169" s="4">
        <f t="shared" si="30"/>
        <v>28.2</v>
      </c>
      <c r="F169" s="4">
        <f>IF('Pass&amp;CardChoice'!$B$39,D169-E169,IF('Pass&amp;CardChoice'!$B$40,IF(NOT(OR('Pass&amp;CardChoice'!$B$13,'Pass&amp;CardChoice'!$B$14,'Pass&amp;CardChoice'!$B$15)),D169,0),0))</f>
        <v>0</v>
      </c>
      <c r="G169" s="9"/>
      <c r="H169" s="1">
        <f>CHOOSE('Rental type'!A11,'Ticket Prices'!$E$22,'Ticket Prices'!$E$31,0)</f>
        <v>0</v>
      </c>
      <c r="I169" s="1">
        <f t="shared" si="38"/>
        <v>0</v>
      </c>
      <c r="J169" s="1">
        <f t="shared" si="39"/>
        <v>0</v>
      </c>
      <c r="K169" s="4">
        <f t="shared" si="40"/>
        <v>0</v>
      </c>
    </row>
    <row r="170" spans="2:11" ht="12.75">
      <c r="B170" t="s">
        <v>137</v>
      </c>
      <c r="C170" s="60"/>
      <c r="D170" s="4">
        <f>D163/2</f>
        <v>27.5</v>
      </c>
      <c r="E170" s="4">
        <f>D170</f>
        <v>27.5</v>
      </c>
      <c r="F170" s="4">
        <f>IF('Pass&amp;CardChoice'!$B$39,D170-E170,IF('Pass&amp;CardChoice'!$B$40,IF(NOT(OR('Pass&amp;CardChoice'!$B$14,'Pass&amp;CardChoice'!$B$15)),D170,0),0))</f>
        <v>0</v>
      </c>
      <c r="G170" s="9"/>
      <c r="H170" s="1">
        <f>CHOOSE('Rental type'!A12,'Ticket Prices'!$E$22,'Ticket Prices'!$E$31,0)</f>
        <v>0</v>
      </c>
      <c r="I170" s="1">
        <f t="shared" si="38"/>
        <v>0</v>
      </c>
      <c r="J170" s="1">
        <f>H170-I170</f>
        <v>0</v>
      </c>
      <c r="K170" s="4">
        <f>(C170*F170)+(G170*D170)+(C170*J170)+(G170*H170)</f>
        <v>0</v>
      </c>
    </row>
    <row r="171" spans="2:11" ht="12.75">
      <c r="B171" t="s">
        <v>123</v>
      </c>
      <c r="C171" s="60"/>
      <c r="D171" s="4">
        <f>D163</f>
        <v>55</v>
      </c>
      <c r="E171" s="4">
        <f>0.6*D171</f>
        <v>33</v>
      </c>
      <c r="F171" s="4">
        <f>IF('Pass&amp;CardChoice'!$B$7,D171-E171,0)</f>
        <v>0</v>
      </c>
      <c r="G171" s="31"/>
      <c r="H171" s="31"/>
      <c r="I171" s="31"/>
      <c r="J171" s="31"/>
      <c r="K171" s="4">
        <v>0</v>
      </c>
    </row>
    <row r="172" spans="2:11" ht="12.75">
      <c r="B172" t="s">
        <v>124</v>
      </c>
      <c r="C172" s="60"/>
      <c r="D172" s="4">
        <f>D167</f>
        <v>47</v>
      </c>
      <c r="E172" s="4">
        <f>0.6*D172</f>
        <v>28.2</v>
      </c>
      <c r="F172" s="4">
        <f>IF('Pass&amp;CardChoice'!$B$7,D172-E172,0)</f>
        <v>0</v>
      </c>
      <c r="G172" s="31"/>
      <c r="H172" s="31"/>
      <c r="I172" s="31"/>
      <c r="J172" s="31"/>
      <c r="K172" s="4">
        <v>0</v>
      </c>
    </row>
    <row r="173" spans="1:11" ht="12.75">
      <c r="A173" t="s">
        <v>5</v>
      </c>
      <c r="D173" s="4"/>
      <c r="E173" s="4"/>
      <c r="K173" s="4"/>
    </row>
    <row r="174" spans="2:11" ht="12.75">
      <c r="B174" t="s">
        <v>25</v>
      </c>
      <c r="C174" s="60"/>
      <c r="D174" s="4">
        <f>'Ticket Prices'!E6</f>
        <v>47</v>
      </c>
      <c r="E174" s="4">
        <f t="shared" si="30"/>
        <v>28.2</v>
      </c>
      <c r="F174" s="4">
        <f>IF('Pass&amp;CardChoice'!$B$39,D174-E174,IF('Pass&amp;CardChoice'!$B$40,IF(NOT(OR('Pass&amp;CardChoice'!$B$13,'Pass&amp;CardChoice'!$B$14,'Pass&amp;CardChoice'!$B$15)),D174,0),0))</f>
        <v>0</v>
      </c>
      <c r="G174" s="9"/>
      <c r="H174" s="1">
        <f>CHOOSE('Rental type'!A5,'Ticket Prices'!$E$21,'Ticket Prices'!$E$30,0)</f>
        <v>0</v>
      </c>
      <c r="I174" s="1">
        <f t="shared" si="38"/>
        <v>0</v>
      </c>
      <c r="J174" s="1">
        <f aca="true" t="shared" si="41" ref="J174:J180">H174-I174</f>
        <v>0</v>
      </c>
      <c r="K174" s="4">
        <f aca="true" t="shared" si="42" ref="K174:K180">(C174*F174)+(G174*D174)+(C174*J174)+(G174*H174)</f>
        <v>0</v>
      </c>
    </row>
    <row r="175" spans="2:11" ht="12.75">
      <c r="B175" t="s">
        <v>26</v>
      </c>
      <c r="C175" s="60"/>
      <c r="D175" s="4">
        <f>D174</f>
        <v>47</v>
      </c>
      <c r="E175" s="4">
        <f t="shared" si="30"/>
        <v>28.2</v>
      </c>
      <c r="F175" s="4">
        <f>IF('Pass&amp;CardChoice'!$B$39,D175-E175,IF('Pass&amp;CardChoice'!$B$40,IF(NOT(OR('Pass&amp;CardChoice'!$B$13,'Pass&amp;CardChoice'!$B$14,'Pass&amp;CardChoice'!$B$15)),D175,0),0))</f>
        <v>0</v>
      </c>
      <c r="G175" s="9"/>
      <c r="H175" s="1">
        <f>CHOOSE('Rental type'!A6,'Ticket Prices'!$E$21,'Ticket Prices'!$E$30,0)</f>
        <v>0</v>
      </c>
      <c r="I175" s="1">
        <f t="shared" si="38"/>
        <v>0</v>
      </c>
      <c r="J175" s="1">
        <f t="shared" si="41"/>
        <v>0</v>
      </c>
      <c r="K175" s="4">
        <f t="shared" si="42"/>
        <v>0</v>
      </c>
    </row>
    <row r="176" spans="2:11" ht="12.75">
      <c r="B176" t="s">
        <v>39</v>
      </c>
      <c r="C176" s="60"/>
      <c r="D176" s="4">
        <f>D175</f>
        <v>47</v>
      </c>
      <c r="E176" s="4">
        <f t="shared" si="30"/>
        <v>28.2</v>
      </c>
      <c r="F176" s="4">
        <f>IF('Pass&amp;CardChoice'!$B$39,D176-E176,IF('Pass&amp;CardChoice'!$B$40,IF(NOT(OR('Pass&amp;CardChoice'!$B$13,'Pass&amp;CardChoice'!$B$14,'Pass&amp;CardChoice'!$B$15)),D176,0),0))</f>
        <v>0</v>
      </c>
      <c r="G176" s="9"/>
      <c r="H176" s="1">
        <f>CHOOSE('Rental type'!A7,'Ticket Prices'!$E$21,'Ticket Prices'!$E$30,0)</f>
        <v>0</v>
      </c>
      <c r="I176" s="1">
        <f t="shared" si="38"/>
        <v>0</v>
      </c>
      <c r="J176" s="1">
        <f>H176-I176</f>
        <v>0</v>
      </c>
      <c r="K176" s="4">
        <f t="shared" si="42"/>
        <v>0</v>
      </c>
    </row>
    <row r="177" spans="2:11" ht="12.75">
      <c r="B177" t="s">
        <v>40</v>
      </c>
      <c r="C177" s="60"/>
      <c r="D177" s="4">
        <f>D176</f>
        <v>47</v>
      </c>
      <c r="E177" s="4">
        <f t="shared" si="30"/>
        <v>28.2</v>
      </c>
      <c r="F177" s="4">
        <f>IF('Pass&amp;CardChoice'!$B$39,D177-E177,IF('Pass&amp;CardChoice'!$B$40,IF(NOT(OR('Pass&amp;CardChoice'!$B$13,'Pass&amp;CardChoice'!$B$14,'Pass&amp;CardChoice'!$B$15)),D177,0),0))</f>
        <v>0</v>
      </c>
      <c r="G177" s="9"/>
      <c r="H177" s="1">
        <f>CHOOSE('Rental type'!A8,'Ticket Prices'!$E$21,'Ticket Prices'!$E$30,0)</f>
        <v>0</v>
      </c>
      <c r="I177" s="1">
        <f t="shared" si="38"/>
        <v>0</v>
      </c>
      <c r="J177" s="1">
        <f>H177-I177</f>
        <v>0</v>
      </c>
      <c r="K177" s="4">
        <f t="shared" si="42"/>
        <v>0</v>
      </c>
    </row>
    <row r="178" spans="2:11" ht="12.75">
      <c r="B178" t="s">
        <v>27</v>
      </c>
      <c r="C178" s="60"/>
      <c r="D178" s="4">
        <f>'Ticket Prices'!E10</f>
        <v>42</v>
      </c>
      <c r="E178" s="4">
        <f t="shared" si="30"/>
        <v>25.2</v>
      </c>
      <c r="F178" s="4">
        <f>IF('Pass&amp;CardChoice'!$B$39,D178-E178,IF('Pass&amp;CardChoice'!$B$40,IF(NOT(OR('Pass&amp;CardChoice'!$B$13,'Pass&amp;CardChoice'!$B$14,'Pass&amp;CardChoice'!$B$15)),D178,0),0))</f>
        <v>0</v>
      </c>
      <c r="G178" s="9"/>
      <c r="H178" s="1">
        <f>CHOOSE('Rental type'!A9,'Ticket Prices'!$E$21,'Ticket Prices'!$E$30,0)</f>
        <v>0</v>
      </c>
      <c r="I178" s="1">
        <f t="shared" si="38"/>
        <v>0</v>
      </c>
      <c r="J178" s="1">
        <f t="shared" si="41"/>
        <v>0</v>
      </c>
      <c r="K178" s="4">
        <f t="shared" si="42"/>
        <v>0</v>
      </c>
    </row>
    <row r="179" spans="2:11" ht="12.75">
      <c r="B179" t="s">
        <v>28</v>
      </c>
      <c r="C179" s="60"/>
      <c r="D179" s="4">
        <f>D178</f>
        <v>42</v>
      </c>
      <c r="E179" s="4">
        <f t="shared" si="30"/>
        <v>25.2</v>
      </c>
      <c r="F179" s="4">
        <f>IF('Pass&amp;CardChoice'!$B$39,D179-E179,IF('Pass&amp;CardChoice'!$B$40,IF(NOT(OR('Pass&amp;CardChoice'!$B$13,'Pass&amp;CardChoice'!$B$14,'Pass&amp;CardChoice'!$B$15)),D179,0),0))</f>
        <v>0</v>
      </c>
      <c r="G179" s="9"/>
      <c r="H179" s="1">
        <f>CHOOSE('Rental type'!A10,'Ticket Prices'!$E$21,'Ticket Prices'!$E$30,0)</f>
        <v>0</v>
      </c>
      <c r="I179" s="1">
        <f t="shared" si="38"/>
        <v>0</v>
      </c>
      <c r="J179" s="1">
        <f t="shared" si="41"/>
        <v>0</v>
      </c>
      <c r="K179" s="4">
        <f t="shared" si="42"/>
        <v>0</v>
      </c>
    </row>
    <row r="180" spans="2:11" ht="12.75">
      <c r="B180" t="s">
        <v>29</v>
      </c>
      <c r="C180" s="60"/>
      <c r="D180" s="4">
        <f>D179</f>
        <v>42</v>
      </c>
      <c r="E180" s="4">
        <f t="shared" si="30"/>
        <v>25.2</v>
      </c>
      <c r="F180" s="4">
        <f>IF('Pass&amp;CardChoice'!$B$39,D180-E180,IF('Pass&amp;CardChoice'!$B$40,IF(NOT(OR('Pass&amp;CardChoice'!$B$13,'Pass&amp;CardChoice'!$B$14,'Pass&amp;CardChoice'!$B$15)),D180,0),0))</f>
        <v>0</v>
      </c>
      <c r="G180" s="9"/>
      <c r="H180" s="1">
        <f>CHOOSE('Rental type'!A11,'Ticket Prices'!$E$21,'Ticket Prices'!$E$30,0)</f>
        <v>0</v>
      </c>
      <c r="I180" s="1">
        <f t="shared" si="38"/>
        <v>0</v>
      </c>
      <c r="J180" s="1">
        <f t="shared" si="41"/>
        <v>0</v>
      </c>
      <c r="K180" s="4">
        <f t="shared" si="42"/>
        <v>0</v>
      </c>
    </row>
    <row r="181" spans="2:11" ht="12.75">
      <c r="B181" t="s">
        <v>137</v>
      </c>
      <c r="C181" s="60"/>
      <c r="D181" s="4">
        <f>D174/2</f>
        <v>23.5</v>
      </c>
      <c r="E181" s="4">
        <f>D181</f>
        <v>23.5</v>
      </c>
      <c r="F181" s="4">
        <f>IF('Pass&amp;CardChoice'!$B$39,D181-E181,IF('Pass&amp;CardChoice'!$B$40,IF(NOT(OR('Pass&amp;CardChoice'!$B$14,'Pass&amp;CardChoice'!$B$15)),D181,0),0))</f>
        <v>0</v>
      </c>
      <c r="G181" s="9"/>
      <c r="H181" s="1">
        <f>CHOOSE('Rental type'!A12,'Ticket Prices'!$E$21,'Ticket Prices'!$E$30,0)</f>
        <v>0</v>
      </c>
      <c r="I181" s="1">
        <f t="shared" si="38"/>
        <v>0</v>
      </c>
      <c r="J181" s="1">
        <f>H181-I181</f>
        <v>0</v>
      </c>
      <c r="K181" s="4">
        <f>(C181*F181)+(G181*D181)+(C181*J181)+(G181*H181)</f>
        <v>0</v>
      </c>
    </row>
    <row r="182" spans="2:11" ht="12.75">
      <c r="B182" t="s">
        <v>123</v>
      </c>
      <c r="C182" s="60"/>
      <c r="D182" s="4">
        <f>D174</f>
        <v>47</v>
      </c>
      <c r="E182" s="4">
        <f>0.6*D182</f>
        <v>28.2</v>
      </c>
      <c r="F182" s="4">
        <f>IF('Pass&amp;CardChoice'!$B$7,D182-E182,0)</f>
        <v>0</v>
      </c>
      <c r="G182" s="31"/>
      <c r="H182" s="31"/>
      <c r="I182" s="31"/>
      <c r="J182" s="31"/>
      <c r="K182" s="4">
        <v>0</v>
      </c>
    </row>
    <row r="183" spans="2:11" ht="12.75">
      <c r="B183" t="s">
        <v>124</v>
      </c>
      <c r="C183" s="60"/>
      <c r="D183" s="4">
        <f>D178</f>
        <v>42</v>
      </c>
      <c r="E183" s="4">
        <f>0.6*D183</f>
        <v>25.2</v>
      </c>
      <c r="F183" s="4">
        <f>IF('Pass&amp;CardChoice'!$B$7,D183-E183,0)</f>
        <v>0</v>
      </c>
      <c r="G183" s="31"/>
      <c r="H183" s="31"/>
      <c r="I183" s="31"/>
      <c r="J183" s="31"/>
      <c r="K183" s="4">
        <v>0</v>
      </c>
    </row>
    <row r="184" spans="1:11" ht="12.75">
      <c r="A184" t="s">
        <v>8</v>
      </c>
      <c r="D184" s="4"/>
      <c r="E184" s="4"/>
      <c r="K184" s="4"/>
    </row>
    <row r="185" spans="2:11" ht="12.75">
      <c r="B185" t="s">
        <v>25</v>
      </c>
      <c r="C185" s="60"/>
      <c r="D185" s="4">
        <f>'Ticket Prices'!E5</f>
        <v>42</v>
      </c>
      <c r="E185" s="4">
        <f t="shared" si="30"/>
        <v>25.2</v>
      </c>
      <c r="F185" s="4">
        <f>IF('Pass&amp;CardChoice'!$B$39,D185-E185,IF('Pass&amp;CardChoice'!$B$40,IF(NOT(OR('Pass&amp;CardChoice'!$B$13,'Pass&amp;CardChoice'!$B$14,'Pass&amp;CardChoice'!$B$15)),D185,0),0))</f>
        <v>0</v>
      </c>
      <c r="G185" s="9"/>
      <c r="H185" s="1">
        <f>CHOOSE('Rental type'!A5,'Ticket Prices'!$E$20,'Ticket Prices'!$E$29,0)</f>
        <v>0</v>
      </c>
      <c r="I185" s="1">
        <f t="shared" si="38"/>
        <v>0</v>
      </c>
      <c r="J185" s="1">
        <f aca="true" t="shared" si="43" ref="J185:J191">H185-I185</f>
        <v>0</v>
      </c>
      <c r="K185" s="4">
        <f aca="true" t="shared" si="44" ref="K185:K191">(C185*F185)+(G185*D185)+(C185*J185)+(G185*H185)</f>
        <v>0</v>
      </c>
    </row>
    <row r="186" spans="2:11" ht="12.75">
      <c r="B186" t="s">
        <v>26</v>
      </c>
      <c r="C186" s="60"/>
      <c r="D186" s="4">
        <f>D185</f>
        <v>42</v>
      </c>
      <c r="E186" s="4">
        <f t="shared" si="30"/>
        <v>25.2</v>
      </c>
      <c r="F186" s="4">
        <f>IF('Pass&amp;CardChoice'!$B$39,D186-E186,IF('Pass&amp;CardChoice'!$B$40,IF(NOT(OR('Pass&amp;CardChoice'!$B$13,'Pass&amp;CardChoice'!$B$14,'Pass&amp;CardChoice'!$B$15)),D186,0),0))</f>
        <v>0</v>
      </c>
      <c r="G186" s="9"/>
      <c r="H186" s="1">
        <f>CHOOSE('Rental type'!A6,'Ticket Prices'!$E$20,'Ticket Prices'!$E$29,0)</f>
        <v>0</v>
      </c>
      <c r="I186" s="1">
        <f t="shared" si="38"/>
        <v>0</v>
      </c>
      <c r="J186" s="1">
        <f t="shared" si="43"/>
        <v>0</v>
      </c>
      <c r="K186" s="4">
        <f t="shared" si="44"/>
        <v>0</v>
      </c>
    </row>
    <row r="187" spans="2:11" ht="12.75">
      <c r="B187" t="s">
        <v>39</v>
      </c>
      <c r="C187" s="60"/>
      <c r="D187" s="4">
        <f>D186</f>
        <v>42</v>
      </c>
      <c r="E187" s="4">
        <f t="shared" si="30"/>
        <v>25.2</v>
      </c>
      <c r="F187" s="4">
        <f>IF('Pass&amp;CardChoice'!$B$39,D187-E187,IF('Pass&amp;CardChoice'!$B$40,IF(NOT(OR('Pass&amp;CardChoice'!$B$13,'Pass&amp;CardChoice'!$B$14,'Pass&amp;CardChoice'!$B$15)),D187,0),0))</f>
        <v>0</v>
      </c>
      <c r="G187" s="9"/>
      <c r="H187" s="1">
        <f>CHOOSE('Rental type'!A7,'Ticket Prices'!$E$20,'Ticket Prices'!$E$29,0)</f>
        <v>0</v>
      </c>
      <c r="I187" s="1">
        <f t="shared" si="38"/>
        <v>0</v>
      </c>
      <c r="J187" s="1">
        <f>H187-I187</f>
        <v>0</v>
      </c>
      <c r="K187" s="4">
        <f t="shared" si="44"/>
        <v>0</v>
      </c>
    </row>
    <row r="188" spans="2:11" ht="12.75">
      <c r="B188" t="s">
        <v>40</v>
      </c>
      <c r="C188" s="60"/>
      <c r="D188" s="4">
        <f>D187</f>
        <v>42</v>
      </c>
      <c r="E188" s="4">
        <f t="shared" si="30"/>
        <v>25.2</v>
      </c>
      <c r="F188" s="4">
        <f>IF('Pass&amp;CardChoice'!$B$39,D188-E188,IF('Pass&amp;CardChoice'!$B$40,IF(NOT(OR('Pass&amp;CardChoice'!$B$13,'Pass&amp;CardChoice'!$B$14,'Pass&amp;CardChoice'!$B$15)),D188,0),0))</f>
        <v>0</v>
      </c>
      <c r="G188" s="9"/>
      <c r="H188" s="1">
        <f>CHOOSE('Rental type'!A8,'Ticket Prices'!$E$20,'Ticket Prices'!$E$29,0)</f>
        <v>0</v>
      </c>
      <c r="I188" s="1">
        <f t="shared" si="38"/>
        <v>0</v>
      </c>
      <c r="J188" s="1">
        <f>H188-I188</f>
        <v>0</v>
      </c>
      <c r="K188" s="4">
        <f t="shared" si="44"/>
        <v>0</v>
      </c>
    </row>
    <row r="189" spans="2:11" ht="12.75">
      <c r="B189" t="s">
        <v>27</v>
      </c>
      <c r="C189" s="60"/>
      <c r="D189" s="4">
        <f>'Ticket Prices'!E9</f>
        <v>37</v>
      </c>
      <c r="E189" s="4">
        <f t="shared" si="30"/>
        <v>22.2</v>
      </c>
      <c r="F189" s="4">
        <f>IF('Pass&amp;CardChoice'!$B$39,D189-E189,IF('Pass&amp;CardChoice'!$B$40,IF(NOT(OR('Pass&amp;CardChoice'!$B$13,'Pass&amp;CardChoice'!$B$14,'Pass&amp;CardChoice'!$B$15)),D189,0),0))</f>
        <v>0</v>
      </c>
      <c r="G189" s="9"/>
      <c r="H189" s="1">
        <f>CHOOSE('Rental type'!A9,'Ticket Prices'!$E$20,'Ticket Prices'!$E$29,0)</f>
        <v>0</v>
      </c>
      <c r="I189" s="1">
        <f t="shared" si="38"/>
        <v>0</v>
      </c>
      <c r="J189" s="1">
        <f t="shared" si="43"/>
        <v>0</v>
      </c>
      <c r="K189" s="4">
        <f t="shared" si="44"/>
        <v>0</v>
      </c>
    </row>
    <row r="190" spans="2:11" ht="12.75">
      <c r="B190" t="s">
        <v>28</v>
      </c>
      <c r="C190" s="60"/>
      <c r="D190" s="4">
        <f>D189</f>
        <v>37</v>
      </c>
      <c r="E190" s="4">
        <f t="shared" si="30"/>
        <v>22.2</v>
      </c>
      <c r="F190" s="4">
        <f>IF('Pass&amp;CardChoice'!$B$39,D190-E190,IF('Pass&amp;CardChoice'!$B$40,IF(NOT(OR('Pass&amp;CardChoice'!$B$13,'Pass&amp;CardChoice'!$B$14,'Pass&amp;CardChoice'!$B$15)),D190,0),0))</f>
        <v>0</v>
      </c>
      <c r="G190" s="9"/>
      <c r="H190" s="1">
        <f>CHOOSE('Rental type'!A10,'Ticket Prices'!$E$20,'Ticket Prices'!$E$29,0)</f>
        <v>0</v>
      </c>
      <c r="I190" s="1">
        <f t="shared" si="38"/>
        <v>0</v>
      </c>
      <c r="J190" s="1">
        <f t="shared" si="43"/>
        <v>0</v>
      </c>
      <c r="K190" s="4">
        <f t="shared" si="44"/>
        <v>0</v>
      </c>
    </row>
    <row r="191" spans="2:11" ht="12.75">
      <c r="B191" t="s">
        <v>29</v>
      </c>
      <c r="C191" s="60"/>
      <c r="D191" s="4">
        <f>D190</f>
        <v>37</v>
      </c>
      <c r="E191" s="4">
        <f t="shared" si="30"/>
        <v>22.2</v>
      </c>
      <c r="F191" s="4">
        <f>IF('Pass&amp;CardChoice'!$B$39,D191-E191,IF('Pass&amp;CardChoice'!$B$40,IF(NOT(OR('Pass&amp;CardChoice'!$B$13,'Pass&amp;CardChoice'!$B$14,'Pass&amp;CardChoice'!$B$15)),D191,0),0))</f>
        <v>0</v>
      </c>
      <c r="G191" s="9"/>
      <c r="H191" s="1">
        <f>CHOOSE('Rental type'!A11,'Ticket Prices'!$E$20,'Ticket Prices'!$E$29,0)</f>
        <v>0</v>
      </c>
      <c r="I191" s="1">
        <f t="shared" si="38"/>
        <v>0</v>
      </c>
      <c r="J191" s="1">
        <f t="shared" si="43"/>
        <v>0</v>
      </c>
      <c r="K191" s="4">
        <f t="shared" si="44"/>
        <v>0</v>
      </c>
    </row>
    <row r="192" spans="2:11" ht="12.75">
      <c r="B192" t="s">
        <v>137</v>
      </c>
      <c r="C192" s="60"/>
      <c r="D192" s="4">
        <f>D185/2</f>
        <v>21</v>
      </c>
      <c r="E192" s="4">
        <f>D192</f>
        <v>21</v>
      </c>
      <c r="F192" s="4">
        <f>IF('Pass&amp;CardChoice'!$B$39,D192-E192,IF('Pass&amp;CardChoice'!$B$40,IF(NOT(OR('Pass&amp;CardChoice'!$B$14,'Pass&amp;CardChoice'!$B$15)),D192,0),0))</f>
        <v>0</v>
      </c>
      <c r="G192" s="9"/>
      <c r="H192" s="1">
        <f>CHOOSE('Rental type'!A12,'Ticket Prices'!$E$20,'Ticket Prices'!$E$29,0)</f>
        <v>0</v>
      </c>
      <c r="I192" s="1">
        <f t="shared" si="38"/>
        <v>0</v>
      </c>
      <c r="J192" s="1">
        <f>H192-I192</f>
        <v>0</v>
      </c>
      <c r="K192" s="4">
        <f>(C192*F192)+(G192*D192)+(C192*J192)+(G192*H192)</f>
        <v>0</v>
      </c>
    </row>
    <row r="193" spans="2:11" ht="12.75">
      <c r="B193" t="s">
        <v>123</v>
      </c>
      <c r="C193" s="60"/>
      <c r="D193" s="4">
        <f>D185</f>
        <v>42</v>
      </c>
      <c r="E193" s="4">
        <f>0.6*D193</f>
        <v>25.2</v>
      </c>
      <c r="F193" s="4">
        <f>IF('Pass&amp;CardChoice'!$B$7,D193-E193,0)</f>
        <v>0</v>
      </c>
      <c r="G193" s="31"/>
      <c r="H193" s="31"/>
      <c r="I193" s="31"/>
      <c r="J193" s="31"/>
      <c r="K193" s="4">
        <v>0</v>
      </c>
    </row>
    <row r="194" spans="2:11" ht="12.75">
      <c r="B194" t="s">
        <v>124</v>
      </c>
      <c r="C194" s="60"/>
      <c r="D194" s="4">
        <f>D189</f>
        <v>37</v>
      </c>
      <c r="E194" s="4">
        <f>0.6*D194</f>
        <v>22.2</v>
      </c>
      <c r="F194" s="4">
        <f>IF('Pass&amp;CardChoice'!$B$7,D194-E194,0)</f>
        <v>0</v>
      </c>
      <c r="G194" s="31"/>
      <c r="H194" s="31"/>
      <c r="I194" s="31"/>
      <c r="J194" s="31"/>
      <c r="K194" s="4">
        <v>0</v>
      </c>
    </row>
    <row r="195" spans="1:11" ht="12.75">
      <c r="A195" t="s">
        <v>171</v>
      </c>
      <c r="C195" s="18"/>
      <c r="D195" s="4"/>
      <c r="E195" s="4"/>
      <c r="G195" s="47"/>
      <c r="H195" s="47"/>
      <c r="I195" s="47"/>
      <c r="J195" s="47"/>
      <c r="K195" s="4"/>
    </row>
    <row r="196" spans="2:11" ht="12.75">
      <c r="B196" t="s">
        <v>25</v>
      </c>
      <c r="C196" s="60"/>
      <c r="D196" s="4">
        <f>'Ticket Prices'!$F$13</f>
        <v>115</v>
      </c>
      <c r="E196" s="4">
        <f aca="true" t="shared" si="45" ref="E196:E203">0.6*D196</f>
        <v>69</v>
      </c>
      <c r="F196" s="4">
        <f>IF('Pass&amp;CardChoice'!$B$39,D196-E196,IF('Pass&amp;CardChoice'!$B$40,IF(NOT(OR('Pass&amp;CardChoice'!$B$13,'Pass&amp;CardChoice'!$B$14,'Pass&amp;CardChoice'!$B$15)),D196,0),0))</f>
        <v>0</v>
      </c>
      <c r="G196" s="31"/>
      <c r="H196" s="69">
        <f>CHOOSE('Rental type'!A5,'Ticket Prices'!$C$24,'Ticket Prices'!$C$32,0)</f>
        <v>0</v>
      </c>
      <c r="I196" s="1">
        <f aca="true" t="shared" si="46" ref="I196:I203">0.6*H196</f>
        <v>0</v>
      </c>
      <c r="J196" s="1">
        <f aca="true" t="shared" si="47" ref="J196:J203">H196-I196</f>
        <v>0</v>
      </c>
      <c r="K196" s="4">
        <f aca="true" t="shared" si="48" ref="K196:K202">(C196*F196)+(G196*D196)+(C196*J196)+(G196*H196)</f>
        <v>0</v>
      </c>
    </row>
    <row r="197" spans="2:11" ht="12.75">
      <c r="B197" t="s">
        <v>26</v>
      </c>
      <c r="C197" s="60"/>
      <c r="D197" s="4">
        <f>D196</f>
        <v>115</v>
      </c>
      <c r="E197" s="4">
        <f t="shared" si="45"/>
        <v>69</v>
      </c>
      <c r="F197" s="4">
        <f>IF('Pass&amp;CardChoice'!$B$39,D197-E197,IF('Pass&amp;CardChoice'!$B$40,IF(NOT(OR('Pass&amp;CardChoice'!$B$13,'Pass&amp;CardChoice'!$B$14,'Pass&amp;CardChoice'!$B$15)),D197,0),0))</f>
        <v>0</v>
      </c>
      <c r="G197" s="31"/>
      <c r="H197" s="69">
        <f>CHOOSE('Rental type'!A6,'Ticket Prices'!$C$24,'Ticket Prices'!$C$32,0)</f>
        <v>0</v>
      </c>
      <c r="I197" s="1">
        <f t="shared" si="46"/>
        <v>0</v>
      </c>
      <c r="J197" s="1">
        <f t="shared" si="47"/>
        <v>0</v>
      </c>
      <c r="K197" s="4">
        <f t="shared" si="48"/>
        <v>0</v>
      </c>
    </row>
    <row r="198" spans="2:11" ht="12.75">
      <c r="B198" t="s">
        <v>39</v>
      </c>
      <c r="C198" s="60"/>
      <c r="D198" s="4">
        <f>D197</f>
        <v>115</v>
      </c>
      <c r="E198" s="4">
        <f t="shared" si="45"/>
        <v>69</v>
      </c>
      <c r="F198" s="4">
        <f>IF('Pass&amp;CardChoice'!$B$39,D198-E198,IF('Pass&amp;CardChoice'!$B$40,IF(NOT(OR('Pass&amp;CardChoice'!$B$13,'Pass&amp;CardChoice'!$B$14,'Pass&amp;CardChoice'!$B$15)),D198,0),0))</f>
        <v>0</v>
      </c>
      <c r="G198" s="31"/>
      <c r="H198" s="69">
        <f>CHOOSE('Rental type'!A7,'Ticket Prices'!$C$24,'Ticket Prices'!$C$32,0)</f>
        <v>0</v>
      </c>
      <c r="I198" s="1">
        <f t="shared" si="46"/>
        <v>0</v>
      </c>
      <c r="J198" s="1">
        <f t="shared" si="47"/>
        <v>0</v>
      </c>
      <c r="K198" s="4">
        <f t="shared" si="48"/>
        <v>0</v>
      </c>
    </row>
    <row r="199" spans="2:11" ht="12.75">
      <c r="B199" t="s">
        <v>40</v>
      </c>
      <c r="C199" s="60"/>
      <c r="D199" s="4">
        <f>D198</f>
        <v>115</v>
      </c>
      <c r="E199" s="4">
        <f t="shared" si="45"/>
        <v>69</v>
      </c>
      <c r="F199" s="4">
        <f>IF('Pass&amp;CardChoice'!$B$39,D199-E199,IF('Pass&amp;CardChoice'!$B$40,IF(NOT(OR('Pass&amp;CardChoice'!$B$13,'Pass&amp;CardChoice'!$B$14,'Pass&amp;CardChoice'!$B$15)),D199,0),0))</f>
        <v>0</v>
      </c>
      <c r="G199" s="31"/>
      <c r="H199" s="69">
        <f>CHOOSE('Rental type'!A8,'Ticket Prices'!$C$24,'Ticket Prices'!$C$32,0)</f>
        <v>0</v>
      </c>
      <c r="I199" s="1">
        <f t="shared" si="46"/>
        <v>0</v>
      </c>
      <c r="J199" s="1">
        <f t="shared" si="47"/>
        <v>0</v>
      </c>
      <c r="K199" s="4">
        <f t="shared" si="48"/>
        <v>0</v>
      </c>
    </row>
    <row r="200" spans="2:11" ht="12.75">
      <c r="B200" t="s">
        <v>27</v>
      </c>
      <c r="C200" s="60"/>
      <c r="D200" s="4">
        <f>'Ticket Prices'!$F$14</f>
        <v>104</v>
      </c>
      <c r="E200" s="4">
        <f t="shared" si="45"/>
        <v>62.4</v>
      </c>
      <c r="F200" s="4">
        <f>IF('Pass&amp;CardChoice'!$B$39,D200-E200,IF('Pass&amp;CardChoice'!$B$40,IF(NOT(OR('Pass&amp;CardChoice'!$B$13,'Pass&amp;CardChoice'!$B$14,'Pass&amp;CardChoice'!$B$15)),D200,0),0))</f>
        <v>0</v>
      </c>
      <c r="G200" s="31"/>
      <c r="H200" s="69">
        <f>CHOOSE('Rental type'!A9,'Ticket Prices'!$C$24,'Ticket Prices'!$C$32,0)</f>
        <v>0</v>
      </c>
      <c r="I200" s="1">
        <f t="shared" si="46"/>
        <v>0</v>
      </c>
      <c r="J200" s="1">
        <f t="shared" si="47"/>
        <v>0</v>
      </c>
      <c r="K200" s="4">
        <f t="shared" si="48"/>
        <v>0</v>
      </c>
    </row>
    <row r="201" spans="2:11" ht="12.75">
      <c r="B201" t="s">
        <v>28</v>
      </c>
      <c r="C201" s="60"/>
      <c r="D201" s="4">
        <f>D200</f>
        <v>104</v>
      </c>
      <c r="E201" s="4">
        <f t="shared" si="45"/>
        <v>62.4</v>
      </c>
      <c r="F201" s="4">
        <f>IF('Pass&amp;CardChoice'!$B$39,D201-E201,IF('Pass&amp;CardChoice'!$B$40,IF(NOT(OR('Pass&amp;CardChoice'!$B$13,'Pass&amp;CardChoice'!$B$14,'Pass&amp;CardChoice'!$B$15)),D201,0),0))</f>
        <v>0</v>
      </c>
      <c r="G201" s="31"/>
      <c r="H201" s="69">
        <f>CHOOSE('Rental type'!A10,'Ticket Prices'!$C$24,'Ticket Prices'!$C$32,0)</f>
        <v>0</v>
      </c>
      <c r="I201" s="1">
        <f t="shared" si="46"/>
        <v>0</v>
      </c>
      <c r="J201" s="1">
        <f t="shared" si="47"/>
        <v>0</v>
      </c>
      <c r="K201" s="4">
        <f t="shared" si="48"/>
        <v>0</v>
      </c>
    </row>
    <row r="202" spans="2:11" ht="12.75">
      <c r="B202" t="s">
        <v>29</v>
      </c>
      <c r="C202" s="60"/>
      <c r="D202" s="4">
        <f>D201</f>
        <v>104</v>
      </c>
      <c r="E202" s="4">
        <f t="shared" si="45"/>
        <v>62.4</v>
      </c>
      <c r="F202" s="4">
        <f>IF('Pass&amp;CardChoice'!$B$39,D202-E202,IF('Pass&amp;CardChoice'!$B$40,IF(NOT(OR('Pass&amp;CardChoice'!$B$13,'Pass&amp;CardChoice'!$B$14,'Pass&amp;CardChoice'!$B$15)),D202,0),0))</f>
        <v>0</v>
      </c>
      <c r="G202" s="31"/>
      <c r="H202" s="69">
        <f>CHOOSE('Rental type'!A11,'Ticket Prices'!$C$24,'Ticket Prices'!$C$32,0)</f>
        <v>0</v>
      </c>
      <c r="I202" s="1">
        <f t="shared" si="46"/>
        <v>0</v>
      </c>
      <c r="J202" s="1">
        <f t="shared" si="47"/>
        <v>0</v>
      </c>
      <c r="K202" s="4">
        <f t="shared" si="48"/>
        <v>0</v>
      </c>
    </row>
    <row r="203" spans="2:11" ht="12.75">
      <c r="B203" t="s">
        <v>137</v>
      </c>
      <c r="C203" s="60"/>
      <c r="D203" s="4">
        <f>D199</f>
        <v>115</v>
      </c>
      <c r="E203" s="4">
        <f t="shared" si="45"/>
        <v>69</v>
      </c>
      <c r="F203" s="4">
        <f>IF('Pass&amp;CardChoice'!$B$39,D203-E203,IF('Pass&amp;CardChoice'!$B$40,IF(NOT(OR('Pass&amp;CardChoice'!$B$14,'Pass&amp;CardChoice'!$B$15)),D203,0),0))</f>
        <v>0</v>
      </c>
      <c r="G203" s="31"/>
      <c r="H203" s="69">
        <f>CHOOSE('Rental type'!A12,'Ticket Prices'!$C$24,'Ticket Prices'!$C$32,0)</f>
        <v>0</v>
      </c>
      <c r="I203" s="1">
        <f t="shared" si="46"/>
        <v>0</v>
      </c>
      <c r="J203" s="1">
        <f t="shared" si="47"/>
        <v>0</v>
      </c>
      <c r="K203" s="4">
        <f>(C203*F203)+(G203*D203)+(C203*J203)+(G203*H203)</f>
        <v>0</v>
      </c>
    </row>
    <row r="204" spans="2:11" ht="12.75">
      <c r="B204" t="s">
        <v>123</v>
      </c>
      <c r="C204" s="60"/>
      <c r="D204" s="4">
        <f>D196</f>
        <v>115</v>
      </c>
      <c r="E204" s="4">
        <f>0.6*D204</f>
        <v>69</v>
      </c>
      <c r="F204" s="4">
        <f>IF('Pass&amp;CardChoice'!$B$7,D204-E204,0)</f>
        <v>0</v>
      </c>
      <c r="G204" s="31"/>
      <c r="H204" s="31"/>
      <c r="I204" s="31"/>
      <c r="J204" s="31"/>
      <c r="K204" s="4">
        <v>0</v>
      </c>
    </row>
    <row r="205" spans="2:11" ht="12.75">
      <c r="B205" t="s">
        <v>124</v>
      </c>
      <c r="C205" s="60"/>
      <c r="D205" s="4">
        <f>D200</f>
        <v>104</v>
      </c>
      <c r="E205" s="4">
        <f>0.6*D205</f>
        <v>62.4</v>
      </c>
      <c r="F205" s="4">
        <f>IF('Pass&amp;CardChoice'!$B$7,D205-E205,0)</f>
        <v>0</v>
      </c>
      <c r="G205" s="31"/>
      <c r="H205" s="31"/>
      <c r="I205" s="31"/>
      <c r="J205" s="31"/>
      <c r="K205" s="4">
        <v>0</v>
      </c>
    </row>
    <row r="206" spans="1:11" ht="12.75">
      <c r="A206" t="s">
        <v>16</v>
      </c>
      <c r="C206" s="18"/>
      <c r="D206" s="4"/>
      <c r="E206" s="4"/>
      <c r="K206" s="6"/>
    </row>
    <row r="207" spans="2:11" ht="12.75">
      <c r="B207" t="s">
        <v>1</v>
      </c>
      <c r="C207" s="60"/>
      <c r="D207" s="4">
        <f>'Ticket Prices'!E35</f>
        <v>36</v>
      </c>
      <c r="E207" s="4">
        <f t="shared" si="30"/>
        <v>21.599999999999998</v>
      </c>
      <c r="F207" s="4">
        <f>IF('Pass&amp;CardChoice'!$B$39,D207-E207,IF('Pass&amp;CardChoice'!$B$40,0.5*D207,0))</f>
        <v>0</v>
      </c>
      <c r="K207" s="6">
        <f>(C207*F207)</f>
        <v>0</v>
      </c>
    </row>
    <row r="208" spans="4:11" ht="12.75">
      <c r="D208" s="4"/>
      <c r="E208" s="4"/>
      <c r="K208" s="7">
        <f>SUM(K119:K207)</f>
        <v>0</v>
      </c>
    </row>
    <row r="209" spans="4:11" ht="24.75" customHeight="1">
      <c r="D209" s="4"/>
      <c r="E209" s="4"/>
      <c r="K209" s="1" t="s">
        <v>21</v>
      </c>
    </row>
    <row r="210" spans="1:11" s="61" customFormat="1" ht="12.75">
      <c r="A210" s="68" t="s">
        <v>227</v>
      </c>
      <c r="D210" s="62"/>
      <c r="E210" s="62"/>
      <c r="F210" s="62"/>
      <c r="G210" s="64"/>
      <c r="H210" s="64"/>
      <c r="I210" s="64"/>
      <c r="J210" s="64"/>
      <c r="K210" s="62"/>
    </row>
    <row r="211" spans="3:11" ht="38.25">
      <c r="C211" s="1"/>
      <c r="D211" s="1" t="s">
        <v>24</v>
      </c>
      <c r="E211" s="5" t="s">
        <v>6</v>
      </c>
      <c r="F211" s="4" t="s">
        <v>0</v>
      </c>
      <c r="H211" s="1" t="s">
        <v>43</v>
      </c>
      <c r="I211" s="1" t="s">
        <v>23</v>
      </c>
      <c r="J211" s="1" t="s">
        <v>44</v>
      </c>
      <c r="K211" s="1" t="s">
        <v>30</v>
      </c>
    </row>
    <row r="212" spans="1:11" ht="12.75">
      <c r="A212" t="s">
        <v>11</v>
      </c>
      <c r="D212" s="4"/>
      <c r="E212" s="4"/>
      <c r="K212" s="4"/>
    </row>
    <row r="213" spans="2:11" ht="12.75">
      <c r="B213" t="s">
        <v>25</v>
      </c>
      <c r="C213" s="65"/>
      <c r="D213" s="4">
        <f>'Ticket Prices'!I7</f>
        <v>61</v>
      </c>
      <c r="E213" s="4">
        <f>0.6*D213</f>
        <v>36.6</v>
      </c>
      <c r="F213" s="4">
        <f>IF('Pass&amp;CardChoice'!$B$39,D213-E213,IF('Pass&amp;CardChoice'!$B$40,IF(NOT(OR('Pass&amp;CardChoice'!$B$12,'Pass&amp;CardChoice'!$B$13,'Pass&amp;CardChoice'!$B$14,'Pass&amp;CardChoice'!$B$15)),D213,0),0))</f>
        <v>0</v>
      </c>
      <c r="G213" s="9"/>
      <c r="H213" s="1">
        <f>CHOOSE('Rental type'!A5,'Ticket Prices'!$I$22,'Ticket Prices'!$I$31,0)</f>
        <v>0</v>
      </c>
      <c r="I213" s="1">
        <f aca="true" t="shared" si="49" ref="I213:I286">0.6*H213</f>
        <v>0</v>
      </c>
      <c r="J213" s="1">
        <f aca="true" t="shared" si="50" ref="J213:J219">H213-I213</f>
        <v>0</v>
      </c>
      <c r="K213" s="4">
        <f aca="true" t="shared" si="51" ref="K213:K219">(C213*F213)+(G213*D213)+(C213*J213)+(G213*H213)</f>
        <v>0</v>
      </c>
    </row>
    <row r="214" spans="2:11" ht="12.75">
      <c r="B214" t="s">
        <v>26</v>
      </c>
      <c r="C214" s="65"/>
      <c r="D214" s="4">
        <f>D213</f>
        <v>61</v>
      </c>
      <c r="E214" s="4">
        <f>0.6*D214</f>
        <v>36.6</v>
      </c>
      <c r="F214" s="4">
        <f>IF('Pass&amp;CardChoice'!$B$39,D214-E214,IF('Pass&amp;CardChoice'!$B$40,IF(NOT(OR('Pass&amp;CardChoice'!$B$12,'Pass&amp;CardChoice'!$B$13,'Pass&amp;CardChoice'!$B$14,'Pass&amp;CardChoice'!$B$15)),D214,0),0))</f>
        <v>0</v>
      </c>
      <c r="G214" s="9"/>
      <c r="H214" s="1">
        <f>CHOOSE('Rental type'!A6,'Ticket Prices'!$I$22,'Ticket Prices'!$I$31,0)</f>
        <v>0</v>
      </c>
      <c r="I214" s="1">
        <f t="shared" si="49"/>
        <v>0</v>
      </c>
      <c r="J214" s="1">
        <f t="shared" si="50"/>
        <v>0</v>
      </c>
      <c r="K214" s="4">
        <f t="shared" si="51"/>
        <v>0</v>
      </c>
    </row>
    <row r="215" spans="2:11" ht="12.75">
      <c r="B215" t="s">
        <v>39</v>
      </c>
      <c r="C215" s="65"/>
      <c r="D215" s="4">
        <f>D214</f>
        <v>61</v>
      </c>
      <c r="E215" s="4">
        <f>0.6*D215</f>
        <v>36.6</v>
      </c>
      <c r="F215" s="4">
        <f>IF('Pass&amp;CardChoice'!$B$39,D215-E215,IF('Pass&amp;CardChoice'!$B$40,IF(NOT(OR('Pass&amp;CardChoice'!$B$12,'Pass&amp;CardChoice'!$B$13,'Pass&amp;CardChoice'!$B$14,'Pass&amp;CardChoice'!$B$15)),D215,0),0))</f>
        <v>0</v>
      </c>
      <c r="G215" s="9"/>
      <c r="H215" s="1">
        <f>CHOOSE('Rental type'!A7,'Ticket Prices'!$I$22,'Ticket Prices'!$I$31,0)</f>
        <v>0</v>
      </c>
      <c r="I215" s="1">
        <f t="shared" si="49"/>
        <v>0</v>
      </c>
      <c r="J215" s="1">
        <f>H215-I215</f>
        <v>0</v>
      </c>
      <c r="K215" s="4">
        <f t="shared" si="51"/>
        <v>0</v>
      </c>
    </row>
    <row r="216" spans="2:11" ht="12.75">
      <c r="B216" t="s">
        <v>40</v>
      </c>
      <c r="C216" s="65"/>
      <c r="D216" s="4">
        <f>D215</f>
        <v>61</v>
      </c>
      <c r="E216" s="4">
        <f>0.6*D216</f>
        <v>36.6</v>
      </c>
      <c r="F216" s="4">
        <f>IF('Pass&amp;CardChoice'!$B$39,D216-E216,IF('Pass&amp;CardChoice'!$B$40,IF(NOT(OR('Pass&amp;CardChoice'!$B$12,'Pass&amp;CardChoice'!$B$13,'Pass&amp;CardChoice'!$B$14,'Pass&amp;CardChoice'!$B$15)),D216,0),0))</f>
        <v>0</v>
      </c>
      <c r="G216" s="9"/>
      <c r="H216" s="1">
        <f>CHOOSE('Rental type'!A8,'Ticket Prices'!$I$22,'Ticket Prices'!$I$31,0)</f>
        <v>0</v>
      </c>
      <c r="I216" s="1">
        <f t="shared" si="49"/>
        <v>0</v>
      </c>
      <c r="J216" s="1">
        <f>H216-I216</f>
        <v>0</v>
      </c>
      <c r="K216" s="4">
        <f t="shared" si="51"/>
        <v>0</v>
      </c>
    </row>
    <row r="217" spans="2:11" ht="12.75">
      <c r="B217" t="s">
        <v>27</v>
      </c>
      <c r="C217" s="65"/>
      <c r="D217" s="4">
        <f>'Ticket Prices'!I10</f>
        <v>49</v>
      </c>
      <c r="E217" s="4">
        <f aca="true" t="shared" si="52" ref="E217:E285">0.6*D217</f>
        <v>29.4</v>
      </c>
      <c r="F217" s="4">
        <f>IF('Pass&amp;CardChoice'!$B$39,D217-E217,IF('Pass&amp;CardChoice'!$B$40,IF(NOT(OR('Pass&amp;CardChoice'!$B$12,'Pass&amp;CardChoice'!$B$13,'Pass&amp;CardChoice'!$B$14,'Pass&amp;CardChoice'!$B$15)),D217,0),0))</f>
        <v>0</v>
      </c>
      <c r="G217" s="9"/>
      <c r="H217" s="1">
        <f>CHOOSE('Rental type'!A9,'Ticket Prices'!$I$22,'Ticket Prices'!$I$31,0)</f>
        <v>0</v>
      </c>
      <c r="I217" s="1">
        <f t="shared" si="49"/>
        <v>0</v>
      </c>
      <c r="J217" s="1">
        <f t="shared" si="50"/>
        <v>0</v>
      </c>
      <c r="K217" s="4">
        <f t="shared" si="51"/>
        <v>0</v>
      </c>
    </row>
    <row r="218" spans="2:11" ht="12.75">
      <c r="B218" t="s">
        <v>28</v>
      </c>
      <c r="C218" s="65"/>
      <c r="D218" s="4">
        <f>D217</f>
        <v>49</v>
      </c>
      <c r="E218" s="4">
        <f t="shared" si="52"/>
        <v>29.4</v>
      </c>
      <c r="F218" s="4">
        <f>IF('Pass&amp;CardChoice'!$B$39,D218-E218,IF('Pass&amp;CardChoice'!$B$40,IF(NOT(OR('Pass&amp;CardChoice'!$B$12,'Pass&amp;CardChoice'!$B$13,'Pass&amp;CardChoice'!$B$14,'Pass&amp;CardChoice'!$B$15)),D218,0),0))</f>
        <v>0</v>
      </c>
      <c r="G218" s="9"/>
      <c r="H218" s="1">
        <f>CHOOSE('Rental type'!A10,'Ticket Prices'!$I$22,'Ticket Prices'!$I$31,0)</f>
        <v>0</v>
      </c>
      <c r="I218" s="1">
        <f t="shared" si="49"/>
        <v>0</v>
      </c>
      <c r="J218" s="1">
        <f t="shared" si="50"/>
        <v>0</v>
      </c>
      <c r="K218" s="4">
        <f t="shared" si="51"/>
        <v>0</v>
      </c>
    </row>
    <row r="219" spans="2:11" ht="12.75">
      <c r="B219" t="s">
        <v>29</v>
      </c>
      <c r="C219" s="65"/>
      <c r="D219" s="4">
        <f>D218</f>
        <v>49</v>
      </c>
      <c r="E219" s="4">
        <f t="shared" si="52"/>
        <v>29.4</v>
      </c>
      <c r="F219" s="4">
        <f>IF('Pass&amp;CardChoice'!$B$39,D219-E219,IF('Pass&amp;CardChoice'!$B$40,IF(NOT(OR('Pass&amp;CardChoice'!$B$12,'Pass&amp;CardChoice'!$B$13,'Pass&amp;CardChoice'!$B$14,'Pass&amp;CardChoice'!$B$15)),D219,0),0))</f>
        <v>0</v>
      </c>
      <c r="G219" s="9"/>
      <c r="H219" s="1">
        <f>CHOOSE('Rental type'!A11,'Ticket Prices'!$I$22,'Ticket Prices'!$I$31,0)</f>
        <v>0</v>
      </c>
      <c r="I219" s="1">
        <f t="shared" si="49"/>
        <v>0</v>
      </c>
      <c r="J219" s="1">
        <f t="shared" si="50"/>
        <v>0</v>
      </c>
      <c r="K219" s="4">
        <f t="shared" si="51"/>
        <v>0</v>
      </c>
    </row>
    <row r="220" spans="2:11" ht="12.75">
      <c r="B220" t="s">
        <v>137</v>
      </c>
      <c r="C220" s="65"/>
      <c r="D220" s="4">
        <f>D213</f>
        <v>61</v>
      </c>
      <c r="E220" s="4">
        <f t="shared" si="52"/>
        <v>36.6</v>
      </c>
      <c r="F220" s="4">
        <f>IF('Pass&amp;CardChoice'!$B$39,D220-E220,IF('Pass&amp;CardChoice'!$B$40,IF(NOT(OR('Pass&amp;CardChoice'!$B$12,'Pass&amp;CardChoice'!$B$13,'Pass&amp;CardChoice'!$B$14,'Pass&amp;CardChoice'!$B$15)),D220,0),0))</f>
        <v>0</v>
      </c>
      <c r="G220" s="9"/>
      <c r="H220" s="1">
        <f>CHOOSE('Rental type'!A12,'Ticket Prices'!$I$22,'Ticket Prices'!$I$31,0)</f>
        <v>0</v>
      </c>
      <c r="I220" s="1">
        <f t="shared" si="49"/>
        <v>0</v>
      </c>
      <c r="J220" s="1">
        <f>H220-I220</f>
        <v>0</v>
      </c>
      <c r="K220" s="4">
        <f>(C220*F220)+(G220*D220)+(C220*J220)+(G220*H220)</f>
        <v>0</v>
      </c>
    </row>
    <row r="221" spans="2:11" ht="12.75">
      <c r="B221" t="s">
        <v>123</v>
      </c>
      <c r="C221" s="65"/>
      <c r="D221" s="4">
        <f>D213</f>
        <v>61</v>
      </c>
      <c r="E221" s="4">
        <f t="shared" si="52"/>
        <v>36.6</v>
      </c>
      <c r="F221" s="4">
        <f>IF('Pass&amp;CardChoice'!$B$7,D221-E221,0)</f>
        <v>0</v>
      </c>
      <c r="G221" s="31"/>
      <c r="H221" s="31"/>
      <c r="I221" s="31"/>
      <c r="J221" s="31"/>
      <c r="K221" s="4">
        <v>0</v>
      </c>
    </row>
    <row r="222" spans="2:11" ht="12.75">
      <c r="B222" t="s">
        <v>124</v>
      </c>
      <c r="C222" s="65"/>
      <c r="D222" s="4">
        <f>D217</f>
        <v>49</v>
      </c>
      <c r="E222" s="4">
        <f t="shared" si="52"/>
        <v>29.4</v>
      </c>
      <c r="F222" s="4">
        <f>IF('Pass&amp;CardChoice'!$B$7,D222-E222,0)</f>
        <v>0</v>
      </c>
      <c r="G222" s="31"/>
      <c r="H222" s="31"/>
      <c r="I222" s="31"/>
      <c r="J222" s="31"/>
      <c r="K222" s="4">
        <v>0</v>
      </c>
    </row>
    <row r="223" spans="1:11" ht="12.75">
      <c r="A223" t="s">
        <v>3</v>
      </c>
      <c r="D223" s="4"/>
      <c r="E223" s="4"/>
      <c r="K223" s="4"/>
    </row>
    <row r="224" spans="2:11" ht="12.75">
      <c r="B224" t="s">
        <v>25</v>
      </c>
      <c r="C224" s="65"/>
      <c r="D224" s="4">
        <f>'Ticket Prices'!I6</f>
        <v>56</v>
      </c>
      <c r="E224" s="4">
        <f t="shared" si="52"/>
        <v>33.6</v>
      </c>
      <c r="F224" s="4">
        <f>IF('Pass&amp;CardChoice'!$B$39,D224-E224,IF('Pass&amp;CardChoice'!$B$40,IF(NOT(OR('Pass&amp;CardChoice'!$B$12,'Pass&amp;CardChoice'!$B$13,'Pass&amp;CardChoice'!$B$14,'Pass&amp;CardChoice'!$B$15)),D224,0),0))</f>
        <v>0</v>
      </c>
      <c r="G224" s="9"/>
      <c r="H224" s="1">
        <f>CHOOSE('Rental type'!A5,'Ticket Prices'!$I$21,'Ticket Prices'!$I$30,0)</f>
        <v>0</v>
      </c>
      <c r="I224" s="1">
        <f t="shared" si="49"/>
        <v>0</v>
      </c>
      <c r="J224" s="1">
        <f aca="true" t="shared" si="53" ref="J224:J230">H224-I224</f>
        <v>0</v>
      </c>
      <c r="K224" s="4">
        <f aca="true" t="shared" si="54" ref="K224:K230">(C224*F224)+(G224*D224)+(C224*J224)+(G224*H224)</f>
        <v>0</v>
      </c>
    </row>
    <row r="225" spans="2:11" ht="12.75">
      <c r="B225" t="s">
        <v>26</v>
      </c>
      <c r="C225" s="65"/>
      <c r="D225" s="4">
        <f>D224</f>
        <v>56</v>
      </c>
      <c r="E225" s="4">
        <f t="shared" si="52"/>
        <v>33.6</v>
      </c>
      <c r="F225" s="4">
        <f>IF('Pass&amp;CardChoice'!$B$39,D225-E225,IF('Pass&amp;CardChoice'!$B$40,IF(NOT(OR('Pass&amp;CardChoice'!$B$12,'Pass&amp;CardChoice'!$B$13,'Pass&amp;CardChoice'!$B$14,'Pass&amp;CardChoice'!$B$15)),D225,0),0))</f>
        <v>0</v>
      </c>
      <c r="G225" s="9"/>
      <c r="H225" s="1">
        <f>CHOOSE('Rental type'!A6,'Ticket Prices'!$I$21,'Ticket Prices'!$I$30,0)</f>
        <v>0</v>
      </c>
      <c r="I225" s="1">
        <f t="shared" si="49"/>
        <v>0</v>
      </c>
      <c r="J225" s="1">
        <f t="shared" si="53"/>
        <v>0</v>
      </c>
      <c r="K225" s="4">
        <f t="shared" si="54"/>
        <v>0</v>
      </c>
    </row>
    <row r="226" spans="2:11" ht="12.75">
      <c r="B226" t="s">
        <v>39</v>
      </c>
      <c r="C226" s="65"/>
      <c r="D226" s="4">
        <f>D225</f>
        <v>56</v>
      </c>
      <c r="E226" s="4">
        <f t="shared" si="52"/>
        <v>33.6</v>
      </c>
      <c r="F226" s="4">
        <f>IF('Pass&amp;CardChoice'!$B$39,D226-E226,IF('Pass&amp;CardChoice'!$B$40,IF(NOT(OR('Pass&amp;CardChoice'!$B$12,'Pass&amp;CardChoice'!$B$13,'Pass&amp;CardChoice'!$B$14,'Pass&amp;CardChoice'!$B$15)),D226,0),0))</f>
        <v>0</v>
      </c>
      <c r="G226" s="9"/>
      <c r="H226" s="1">
        <f>CHOOSE('Rental type'!A7,'Ticket Prices'!$I$21,'Ticket Prices'!$I$30,0)</f>
        <v>0</v>
      </c>
      <c r="I226" s="1">
        <f t="shared" si="49"/>
        <v>0</v>
      </c>
      <c r="J226" s="1">
        <f>H226-I226</f>
        <v>0</v>
      </c>
      <c r="K226" s="4">
        <f t="shared" si="54"/>
        <v>0</v>
      </c>
    </row>
    <row r="227" spans="2:11" ht="12.75">
      <c r="B227" t="s">
        <v>40</v>
      </c>
      <c r="C227" s="65"/>
      <c r="D227" s="4">
        <f>D226</f>
        <v>56</v>
      </c>
      <c r="E227" s="4">
        <f t="shared" si="52"/>
        <v>33.6</v>
      </c>
      <c r="F227" s="4">
        <f>IF('Pass&amp;CardChoice'!$B$39,D227-E227,IF('Pass&amp;CardChoice'!$B$40,IF(NOT(OR('Pass&amp;CardChoice'!$B$12,'Pass&amp;CardChoice'!$B$13,'Pass&amp;CardChoice'!$B$14,'Pass&amp;CardChoice'!$B$15)),D227,0),0))</f>
        <v>0</v>
      </c>
      <c r="G227" s="9"/>
      <c r="H227" s="1">
        <f>CHOOSE('Rental type'!A8,'Ticket Prices'!$I$21,'Ticket Prices'!$I$30,0)</f>
        <v>0</v>
      </c>
      <c r="I227" s="1">
        <f t="shared" si="49"/>
        <v>0</v>
      </c>
      <c r="J227" s="1">
        <f>H227-I227</f>
        <v>0</v>
      </c>
      <c r="K227" s="4">
        <f t="shared" si="54"/>
        <v>0</v>
      </c>
    </row>
    <row r="228" spans="2:11" ht="12.75">
      <c r="B228" t="s">
        <v>27</v>
      </c>
      <c r="C228" s="65"/>
      <c r="D228" s="4">
        <f>'Ticket Prices'!I10</f>
        <v>49</v>
      </c>
      <c r="E228" s="4">
        <f t="shared" si="52"/>
        <v>29.4</v>
      </c>
      <c r="F228" s="4">
        <f>IF('Pass&amp;CardChoice'!$B$39,D228-E228,IF('Pass&amp;CardChoice'!$B$40,IF(NOT(OR('Pass&amp;CardChoice'!$B$12,'Pass&amp;CardChoice'!$B$13,'Pass&amp;CardChoice'!$B$14,'Pass&amp;CardChoice'!$B$15)),D228,0),0))</f>
        <v>0</v>
      </c>
      <c r="G228" s="9"/>
      <c r="H228" s="1">
        <f>CHOOSE('Rental type'!A9,'Ticket Prices'!$I$21,'Ticket Prices'!$I$30,0)</f>
        <v>0</v>
      </c>
      <c r="I228" s="1">
        <f t="shared" si="49"/>
        <v>0</v>
      </c>
      <c r="J228" s="1">
        <f t="shared" si="53"/>
        <v>0</v>
      </c>
      <c r="K228" s="4">
        <f t="shared" si="54"/>
        <v>0</v>
      </c>
    </row>
    <row r="229" spans="2:11" ht="12.75">
      <c r="B229" t="s">
        <v>28</v>
      </c>
      <c r="C229" s="65"/>
      <c r="D229" s="4">
        <f>D228</f>
        <v>49</v>
      </c>
      <c r="E229" s="4">
        <f t="shared" si="52"/>
        <v>29.4</v>
      </c>
      <c r="F229" s="4">
        <f>IF('Pass&amp;CardChoice'!$B$39,D229-E229,IF('Pass&amp;CardChoice'!$B$40,IF(NOT(OR('Pass&amp;CardChoice'!$B$12,'Pass&amp;CardChoice'!$B$13,'Pass&amp;CardChoice'!$B$14,'Pass&amp;CardChoice'!$B$15)),D229,0),0))</f>
        <v>0</v>
      </c>
      <c r="G229" s="9"/>
      <c r="H229" s="1">
        <f>CHOOSE('Rental type'!A10,'Ticket Prices'!$I$21,'Ticket Prices'!$I$30,0)</f>
        <v>0</v>
      </c>
      <c r="I229" s="1">
        <f t="shared" si="49"/>
        <v>0</v>
      </c>
      <c r="J229" s="1">
        <f t="shared" si="53"/>
        <v>0</v>
      </c>
      <c r="K229" s="4">
        <f t="shared" si="54"/>
        <v>0</v>
      </c>
    </row>
    <row r="230" spans="2:11" ht="12.75">
      <c r="B230" t="s">
        <v>29</v>
      </c>
      <c r="C230" s="65"/>
      <c r="D230" s="4">
        <f>D229</f>
        <v>49</v>
      </c>
      <c r="E230" s="4">
        <f t="shared" si="52"/>
        <v>29.4</v>
      </c>
      <c r="F230" s="4">
        <f>IF('Pass&amp;CardChoice'!$B$39,D230-E230,IF('Pass&amp;CardChoice'!$B$40,IF(NOT(OR('Pass&amp;CardChoice'!$B$12,'Pass&amp;CardChoice'!$B$13,'Pass&amp;CardChoice'!$B$14,'Pass&amp;CardChoice'!$B$15)),D230,0),0))</f>
        <v>0</v>
      </c>
      <c r="G230" s="9"/>
      <c r="H230" s="1">
        <f>CHOOSE('Rental type'!A11,'Ticket Prices'!$I$21,'Ticket Prices'!$I$30,0)</f>
        <v>0</v>
      </c>
      <c r="I230" s="1">
        <f t="shared" si="49"/>
        <v>0</v>
      </c>
      <c r="J230" s="1">
        <f t="shared" si="53"/>
        <v>0</v>
      </c>
      <c r="K230" s="4">
        <f t="shared" si="54"/>
        <v>0</v>
      </c>
    </row>
    <row r="231" spans="2:11" ht="12.75">
      <c r="B231" t="s">
        <v>137</v>
      </c>
      <c r="C231" s="65"/>
      <c r="D231" s="4">
        <f>D224</f>
        <v>56</v>
      </c>
      <c r="E231" s="4">
        <f t="shared" si="52"/>
        <v>33.6</v>
      </c>
      <c r="F231" s="4">
        <f>IF('Pass&amp;CardChoice'!$B$39,D231-E231,IF('Pass&amp;CardChoice'!$B$40,IF(NOT(OR('Pass&amp;CardChoice'!$B$12,'Pass&amp;CardChoice'!$B$13,'Pass&amp;CardChoice'!$B$14,'Pass&amp;CardChoice'!$B$15)),D231,0),0))</f>
        <v>0</v>
      </c>
      <c r="G231" s="9"/>
      <c r="H231" s="1">
        <f>CHOOSE('Rental type'!A12,'Ticket Prices'!$I$21,'Ticket Prices'!$I$30,0)</f>
        <v>0</v>
      </c>
      <c r="I231" s="1">
        <f t="shared" si="49"/>
        <v>0</v>
      </c>
      <c r="J231" s="1">
        <f>H231-I231</f>
        <v>0</v>
      </c>
      <c r="K231" s="4">
        <f>(C231*F231)+(G231*D231)+(C231*J231)+(G231*H231)</f>
        <v>0</v>
      </c>
    </row>
    <row r="232" spans="2:11" ht="12.75">
      <c r="B232" t="s">
        <v>123</v>
      </c>
      <c r="C232" s="65"/>
      <c r="D232" s="4">
        <f>D224</f>
        <v>56</v>
      </c>
      <c r="E232" s="4">
        <f t="shared" si="52"/>
        <v>33.6</v>
      </c>
      <c r="F232" s="4">
        <f>IF('Pass&amp;CardChoice'!$B$7,D232-E232,0)</f>
        <v>0</v>
      </c>
      <c r="G232" s="31"/>
      <c r="H232" s="31"/>
      <c r="I232" s="31"/>
      <c r="J232" s="31"/>
      <c r="K232" s="4">
        <v>0</v>
      </c>
    </row>
    <row r="233" spans="2:11" ht="12.75">
      <c r="B233" t="s">
        <v>124</v>
      </c>
      <c r="C233" s="65"/>
      <c r="D233" s="4">
        <f>D228</f>
        <v>49</v>
      </c>
      <c r="E233" s="4">
        <f t="shared" si="52"/>
        <v>29.4</v>
      </c>
      <c r="F233" s="4">
        <f>IF('Pass&amp;CardChoice'!$B$7,D233-E233,0)</f>
        <v>0</v>
      </c>
      <c r="G233" s="31"/>
      <c r="H233" s="31"/>
      <c r="I233" s="31"/>
      <c r="J233" s="31"/>
      <c r="K233" s="4">
        <v>0</v>
      </c>
    </row>
    <row r="234" spans="1:11" ht="12.75">
      <c r="A234" t="s">
        <v>4</v>
      </c>
      <c r="D234" s="4"/>
      <c r="E234" s="4"/>
      <c r="K234" s="4"/>
    </row>
    <row r="235" spans="2:11" ht="12.75">
      <c r="B235" t="s">
        <v>25</v>
      </c>
      <c r="C235" s="65"/>
      <c r="D235" s="4">
        <f>'Ticket Prices'!I5</f>
        <v>51</v>
      </c>
      <c r="E235" s="4">
        <f t="shared" si="52"/>
        <v>30.599999999999998</v>
      </c>
      <c r="F235" s="4">
        <f>IF('Pass&amp;CardChoice'!$B$39,D235-E235,IF('Pass&amp;CardChoice'!$B$40,IF(NOT(OR('Pass&amp;CardChoice'!$B$12,'Pass&amp;CardChoice'!$B$13,'Pass&amp;CardChoice'!$B$14,'Pass&amp;CardChoice'!$B$15)),D235,0),0))</f>
        <v>0</v>
      </c>
      <c r="G235" s="9"/>
      <c r="H235" s="1">
        <f>CHOOSE('Rental type'!A5,'Ticket Prices'!$I$20,'Ticket Prices'!$I$29,0)</f>
        <v>0</v>
      </c>
      <c r="I235" s="1">
        <f t="shared" si="49"/>
        <v>0</v>
      </c>
      <c r="J235" s="1">
        <f aca="true" t="shared" si="55" ref="J235:J241">H235-I235</f>
        <v>0</v>
      </c>
      <c r="K235" s="4">
        <f aca="true" t="shared" si="56" ref="K235:K241">(C235*F235)+(G235*D235)+(C235*J235)+(G235*H235)</f>
        <v>0</v>
      </c>
    </row>
    <row r="236" spans="2:11" ht="12.75">
      <c r="B236" t="s">
        <v>26</v>
      </c>
      <c r="C236" s="65"/>
      <c r="D236" s="4">
        <f>D235</f>
        <v>51</v>
      </c>
      <c r="E236" s="4">
        <f t="shared" si="52"/>
        <v>30.599999999999998</v>
      </c>
      <c r="F236" s="4">
        <f>IF('Pass&amp;CardChoice'!$B$39,D236-E236,IF('Pass&amp;CardChoice'!$B$40,IF(NOT(OR('Pass&amp;CardChoice'!$B$12,'Pass&amp;CardChoice'!$B$13,'Pass&amp;CardChoice'!$B$14,'Pass&amp;CardChoice'!$B$15)),D236,0),0))</f>
        <v>0</v>
      </c>
      <c r="G236" s="9"/>
      <c r="H236" s="1">
        <f>CHOOSE('Rental type'!A6,'Ticket Prices'!$I$20,'Ticket Prices'!$I$29,0)</f>
        <v>0</v>
      </c>
      <c r="I236" s="1">
        <f t="shared" si="49"/>
        <v>0</v>
      </c>
      <c r="J236" s="1">
        <f t="shared" si="55"/>
        <v>0</v>
      </c>
      <c r="K236" s="4">
        <f t="shared" si="56"/>
        <v>0</v>
      </c>
    </row>
    <row r="237" spans="2:11" ht="12.75">
      <c r="B237" t="s">
        <v>39</v>
      </c>
      <c r="C237" s="65"/>
      <c r="D237" s="4">
        <f>D236</f>
        <v>51</v>
      </c>
      <c r="E237" s="4">
        <f t="shared" si="52"/>
        <v>30.599999999999998</v>
      </c>
      <c r="F237" s="4">
        <f>IF('Pass&amp;CardChoice'!$B$39,D237-E237,IF('Pass&amp;CardChoice'!$B$40,IF(NOT(OR('Pass&amp;CardChoice'!$B$12,'Pass&amp;CardChoice'!$B$13,'Pass&amp;CardChoice'!$B$14,'Pass&amp;CardChoice'!$B$15)),D237,0),0))</f>
        <v>0</v>
      </c>
      <c r="G237" s="9"/>
      <c r="H237" s="1">
        <f>CHOOSE('Rental type'!A7,'Ticket Prices'!$I$20,'Ticket Prices'!$I$29,0)</f>
        <v>0</v>
      </c>
      <c r="I237" s="1">
        <f t="shared" si="49"/>
        <v>0</v>
      </c>
      <c r="J237" s="1">
        <f>H237-I237</f>
        <v>0</v>
      </c>
      <c r="K237" s="4">
        <f t="shared" si="56"/>
        <v>0</v>
      </c>
    </row>
    <row r="238" spans="2:11" ht="12.75">
      <c r="B238" t="s">
        <v>40</v>
      </c>
      <c r="C238" s="65"/>
      <c r="D238" s="4">
        <f>D237</f>
        <v>51</v>
      </c>
      <c r="E238" s="4">
        <f t="shared" si="52"/>
        <v>30.599999999999998</v>
      </c>
      <c r="F238" s="4">
        <f>IF('Pass&amp;CardChoice'!$B$39,D238-E238,IF('Pass&amp;CardChoice'!$B$40,IF(NOT(OR('Pass&amp;CardChoice'!$B$12,'Pass&amp;CardChoice'!$B$13,'Pass&amp;CardChoice'!$B$14,'Pass&amp;CardChoice'!$B$15)),D238,0),0))</f>
        <v>0</v>
      </c>
      <c r="G238" s="9"/>
      <c r="H238" s="1">
        <f>CHOOSE('Rental type'!A8,'Ticket Prices'!$I$20,'Ticket Prices'!$I$29,0)</f>
        <v>0</v>
      </c>
      <c r="I238" s="1">
        <f t="shared" si="49"/>
        <v>0</v>
      </c>
      <c r="J238" s="1">
        <f>H238-I238</f>
        <v>0</v>
      </c>
      <c r="K238" s="4">
        <f t="shared" si="56"/>
        <v>0</v>
      </c>
    </row>
    <row r="239" spans="2:11" ht="12.75">
      <c r="B239" t="s">
        <v>27</v>
      </c>
      <c r="C239" s="65"/>
      <c r="D239" s="4">
        <f>'Ticket Prices'!I9</f>
        <v>45</v>
      </c>
      <c r="E239" s="4">
        <f t="shared" si="52"/>
        <v>27</v>
      </c>
      <c r="F239" s="4">
        <f>IF('Pass&amp;CardChoice'!$B$39,D239-E239,IF('Pass&amp;CardChoice'!$B$40,IF(NOT(OR('Pass&amp;CardChoice'!$B$12,'Pass&amp;CardChoice'!$B$13,'Pass&amp;CardChoice'!$B$14,'Pass&amp;CardChoice'!$B$15)),D239,0),0))</f>
        <v>0</v>
      </c>
      <c r="G239" s="9"/>
      <c r="H239" s="1">
        <f>CHOOSE('Rental type'!A9,'Ticket Prices'!$I$20,'Ticket Prices'!$I$29,0)</f>
        <v>0</v>
      </c>
      <c r="I239" s="1">
        <f t="shared" si="49"/>
        <v>0</v>
      </c>
      <c r="J239" s="1">
        <f t="shared" si="55"/>
        <v>0</v>
      </c>
      <c r="K239" s="4">
        <f t="shared" si="56"/>
        <v>0</v>
      </c>
    </row>
    <row r="240" spans="2:11" ht="12.75">
      <c r="B240" t="s">
        <v>28</v>
      </c>
      <c r="C240" s="65"/>
      <c r="D240" s="4">
        <f>D239</f>
        <v>45</v>
      </c>
      <c r="E240" s="4">
        <f t="shared" si="52"/>
        <v>27</v>
      </c>
      <c r="F240" s="4">
        <f>IF('Pass&amp;CardChoice'!$B$39,D240-E240,IF('Pass&amp;CardChoice'!$B$40,IF(NOT(OR('Pass&amp;CardChoice'!$B$12,'Pass&amp;CardChoice'!$B$13,'Pass&amp;CardChoice'!$B$14,'Pass&amp;CardChoice'!$B$15)),D240,0),0))</f>
        <v>0</v>
      </c>
      <c r="G240" s="9"/>
      <c r="H240" s="1">
        <f>CHOOSE('Rental type'!A10,'Ticket Prices'!$I$20,'Ticket Prices'!$I$29,0)</f>
        <v>0</v>
      </c>
      <c r="I240" s="1">
        <f t="shared" si="49"/>
        <v>0</v>
      </c>
      <c r="J240" s="1">
        <f t="shared" si="55"/>
        <v>0</v>
      </c>
      <c r="K240" s="4">
        <f t="shared" si="56"/>
        <v>0</v>
      </c>
    </row>
    <row r="241" spans="2:11" ht="12.75">
      <c r="B241" t="s">
        <v>29</v>
      </c>
      <c r="C241" s="65"/>
      <c r="D241" s="4">
        <f>D240</f>
        <v>45</v>
      </c>
      <c r="E241" s="4">
        <f t="shared" si="52"/>
        <v>27</v>
      </c>
      <c r="F241" s="4">
        <f>IF('Pass&amp;CardChoice'!$B$39,D241-E241,IF('Pass&amp;CardChoice'!$B$40,IF(NOT(OR('Pass&amp;CardChoice'!$B$12,'Pass&amp;CardChoice'!$B$13,'Pass&amp;CardChoice'!$B$14,'Pass&amp;CardChoice'!$B$15)),D241,0),0))</f>
        <v>0</v>
      </c>
      <c r="G241" s="9"/>
      <c r="H241" s="1">
        <f>CHOOSE('Rental type'!A11,'Ticket Prices'!$I$20,'Ticket Prices'!$I$29,0)</f>
        <v>0</v>
      </c>
      <c r="I241" s="1">
        <f t="shared" si="49"/>
        <v>0</v>
      </c>
      <c r="J241" s="1">
        <f t="shared" si="55"/>
        <v>0</v>
      </c>
      <c r="K241" s="4">
        <f t="shared" si="56"/>
        <v>0</v>
      </c>
    </row>
    <row r="242" spans="2:11" ht="12.75">
      <c r="B242" t="s">
        <v>137</v>
      </c>
      <c r="C242" s="65"/>
      <c r="D242" s="4">
        <f>D235</f>
        <v>51</v>
      </c>
      <c r="E242" s="4">
        <f t="shared" si="52"/>
        <v>30.599999999999998</v>
      </c>
      <c r="F242" s="4">
        <f>IF('Pass&amp;CardChoice'!$B$39,D242-E242,IF('Pass&amp;CardChoice'!$B$40,IF(NOT(OR('Pass&amp;CardChoice'!$B$12,'Pass&amp;CardChoice'!$B$13,'Pass&amp;CardChoice'!$B$14,'Pass&amp;CardChoice'!$B$15)),D242,0),0))</f>
        <v>0</v>
      </c>
      <c r="G242" s="9"/>
      <c r="H242" s="1">
        <f>CHOOSE('Rental type'!A12,'Ticket Prices'!$I$20,'Ticket Prices'!$I$29,0)</f>
        <v>0</v>
      </c>
      <c r="I242" s="1">
        <f t="shared" si="49"/>
        <v>0</v>
      </c>
      <c r="J242" s="1">
        <f>H242-I242</f>
        <v>0</v>
      </c>
      <c r="K242" s="4">
        <f>(C242*F242)+(G242*D242)+(C242*J242)+(G242*H242)</f>
        <v>0</v>
      </c>
    </row>
    <row r="243" spans="2:11" ht="12.75">
      <c r="B243" t="s">
        <v>123</v>
      </c>
      <c r="C243" s="65"/>
      <c r="D243" s="4">
        <f>D235</f>
        <v>51</v>
      </c>
      <c r="E243" s="4">
        <f t="shared" si="52"/>
        <v>30.599999999999998</v>
      </c>
      <c r="F243" s="4">
        <f>IF('Pass&amp;CardChoice'!$B$7,D243-E243,0)</f>
        <v>0</v>
      </c>
      <c r="G243" s="31"/>
      <c r="H243" s="31"/>
      <c r="I243" s="31"/>
      <c r="J243" s="31"/>
      <c r="K243" s="4">
        <v>0</v>
      </c>
    </row>
    <row r="244" spans="2:11" ht="12.75">
      <c r="B244" t="s">
        <v>124</v>
      </c>
      <c r="C244" s="65"/>
      <c r="D244" s="4">
        <f>D239</f>
        <v>45</v>
      </c>
      <c r="E244" s="4">
        <f t="shared" si="52"/>
        <v>27</v>
      </c>
      <c r="F244" s="4">
        <f>IF('Pass&amp;CardChoice'!$B$7,D244-E244,0)</f>
        <v>0</v>
      </c>
      <c r="G244" s="31"/>
      <c r="H244" s="31"/>
      <c r="I244" s="31"/>
      <c r="J244" s="31"/>
      <c r="K244" s="4">
        <v>0</v>
      </c>
    </row>
    <row r="245" spans="1:11" ht="12.75">
      <c r="A245" t="s">
        <v>7</v>
      </c>
      <c r="D245" s="4"/>
      <c r="E245" s="4"/>
      <c r="K245" s="4"/>
    </row>
    <row r="246" spans="2:11" ht="12.75">
      <c r="B246" t="s">
        <v>25</v>
      </c>
      <c r="C246" s="65"/>
      <c r="D246" s="4">
        <f>'Ticket Prices'!I4</f>
        <v>38</v>
      </c>
      <c r="E246" s="4">
        <f aca="true" t="shared" si="57" ref="E246:E252">0.6*D246</f>
        <v>22.8</v>
      </c>
      <c r="F246" s="4">
        <f>IF('Pass&amp;CardChoice'!$B$41,D246,IF('Pass&amp;CardChoice'!$B$39,D246-E246,IF('Pass&amp;CardChoice'!$B$40,IF(NOT(OR('Pass&amp;CardChoice'!$B$12,'Pass&amp;CardChoice'!$B$13,'Pass&amp;CardChoice'!$B$14)),D246,0),0)))</f>
        <v>0</v>
      </c>
      <c r="G246" s="9"/>
      <c r="H246" s="1">
        <f>IF('Pass&amp;CardChoice'!$B$25,'Ticket Prices'!B184,IF('Pass&amp;CardChoice'!$B$26,'Ticket Prices'!$B$28,CHOOSE('Rental type'!A5,'Ticket Prices'!$H$19,'Ticket Prices'!$H$28,0)))</f>
        <v>0</v>
      </c>
      <c r="I246" s="1">
        <f t="shared" si="49"/>
        <v>0</v>
      </c>
      <c r="J246" s="1">
        <f>IF(OR('Pass&amp;CardChoice'!$B$25,'Pass&amp;CardChoice'!$B$26),H246,H246-I246)</f>
        <v>0</v>
      </c>
      <c r="K246" s="4">
        <f aca="true" t="shared" si="58" ref="K246:K252">(C246*F246)+(G246*D246)+(C246*J246)+(G246*H246)</f>
        <v>0</v>
      </c>
    </row>
    <row r="247" spans="2:11" ht="12.75">
      <c r="B247" t="s">
        <v>26</v>
      </c>
      <c r="C247" s="65"/>
      <c r="D247" s="4">
        <f>D246</f>
        <v>38</v>
      </c>
      <c r="E247" s="4">
        <f t="shared" si="57"/>
        <v>22.8</v>
      </c>
      <c r="F247" s="4">
        <f>IF('Pass&amp;CardChoice'!$B$39,D247-E247,IF('Pass&amp;CardChoice'!$B$40,IF(NOT(OR('Pass&amp;CardChoice'!$B$12,'Pass&amp;CardChoice'!$B$13,'Pass&amp;CardChoice'!$B$15)),D247,0),0))</f>
        <v>0</v>
      </c>
      <c r="G247" s="9"/>
      <c r="H247" s="1">
        <f>IF('Pass&amp;CardChoice'!$B$25,'Ticket Prices'!B185,IF('Pass&amp;CardChoice'!$B$26,'Ticket Prices'!$B$28,CHOOSE('Rental type'!A6,'Ticket Prices'!$H$19,'Ticket Prices'!$H$28,0)))</f>
        <v>0</v>
      </c>
      <c r="I247" s="1">
        <f t="shared" si="49"/>
        <v>0</v>
      </c>
      <c r="J247" s="1">
        <f aca="true" t="shared" si="59" ref="J247:J252">H247-I247</f>
        <v>0</v>
      </c>
      <c r="K247" s="4">
        <f t="shared" si="58"/>
        <v>0</v>
      </c>
    </row>
    <row r="248" spans="2:11" ht="12.75">
      <c r="B248" t="s">
        <v>39</v>
      </c>
      <c r="C248" s="65"/>
      <c r="D248" s="4">
        <f>D247</f>
        <v>38</v>
      </c>
      <c r="E248" s="4">
        <f t="shared" si="57"/>
        <v>22.8</v>
      </c>
      <c r="F248" s="4">
        <f>IF('Pass&amp;CardChoice'!$B$39,D248-E248,IF('Pass&amp;CardChoice'!$B$40,IF(NOT(OR('Pass&amp;CardChoice'!$B$12,'Pass&amp;CardChoice'!$B$13,'Pass&amp;CardChoice'!$B$15)),D248,0),0))</f>
        <v>0</v>
      </c>
      <c r="G248" s="9"/>
      <c r="H248" s="1">
        <f>IF('Pass&amp;CardChoice'!$B$25,'Ticket Prices'!B186,IF('Pass&amp;CardChoice'!$B$26,'Ticket Prices'!$B$28,CHOOSE('Rental type'!A7,'Ticket Prices'!$H$19,'Ticket Prices'!$H$28,0)))</f>
        <v>0</v>
      </c>
      <c r="I248" s="1">
        <f t="shared" si="49"/>
        <v>0</v>
      </c>
      <c r="J248" s="1">
        <f>H248-I248</f>
        <v>0</v>
      </c>
      <c r="K248" s="4">
        <f t="shared" si="58"/>
        <v>0</v>
      </c>
    </row>
    <row r="249" spans="2:11" ht="12.75">
      <c r="B249" t="s">
        <v>40</v>
      </c>
      <c r="C249" s="65"/>
      <c r="D249" s="4">
        <f>D248</f>
        <v>38</v>
      </c>
      <c r="E249" s="4">
        <f t="shared" si="57"/>
        <v>22.8</v>
      </c>
      <c r="F249" s="4">
        <f>IF('Pass&amp;CardChoice'!$B$39,D249-E249,IF('Pass&amp;CardChoice'!$B$40,IF(NOT(OR('Pass&amp;CardChoice'!$B$12,'Pass&amp;CardChoice'!$B$13,'Pass&amp;CardChoice'!$B$15)),D249,0),0))</f>
        <v>0</v>
      </c>
      <c r="G249" s="9"/>
      <c r="H249" s="1">
        <f>IF('Pass&amp;CardChoice'!$B$25,'Ticket Prices'!B187,IF('Pass&amp;CardChoice'!$B$26,'Ticket Prices'!$B$28,CHOOSE('Rental type'!A8,'Ticket Prices'!$H$19,'Ticket Prices'!$H$28,0)))</f>
        <v>0</v>
      </c>
      <c r="I249" s="1">
        <f t="shared" si="49"/>
        <v>0</v>
      </c>
      <c r="J249" s="1">
        <f>H249-I249</f>
        <v>0</v>
      </c>
      <c r="K249" s="4">
        <f t="shared" si="58"/>
        <v>0</v>
      </c>
    </row>
    <row r="250" spans="2:11" ht="12.75">
      <c r="B250" t="s">
        <v>27</v>
      </c>
      <c r="C250" s="65"/>
      <c r="D250" s="4">
        <f>'Ticket Prices'!I8</f>
        <v>32</v>
      </c>
      <c r="E250" s="4">
        <f t="shared" si="57"/>
        <v>19.2</v>
      </c>
      <c r="F250" s="4">
        <f>IF('Pass&amp;CardChoice'!$B$41,D250,IF('Pass&amp;CardChoice'!$B$39,D250-E250,IF('Pass&amp;CardChoice'!$B$40,IF(NOT(OR('Pass&amp;CardChoice'!$B$12,'Pass&amp;CardChoice'!$B$13,'Pass&amp;CardChoice'!$B$14)),D250,0),0)))</f>
        <v>0</v>
      </c>
      <c r="G250" s="9"/>
      <c r="H250" s="1">
        <f>IF('Pass&amp;CardChoice'!$B$25,'Ticket Prices'!B188,IF('Pass&amp;CardChoice'!$B$26,'Ticket Prices'!$B$28,CHOOSE('Rental type'!A9,'Ticket Prices'!$H$19,'Ticket Prices'!$H$28,0)))</f>
        <v>0</v>
      </c>
      <c r="I250" s="1">
        <f t="shared" si="49"/>
        <v>0</v>
      </c>
      <c r="J250" s="1">
        <f>IF(OR('Pass&amp;CardChoice'!$B$25,'Pass&amp;CardChoice'!$B$26),H250,H250-I250)</f>
        <v>0</v>
      </c>
      <c r="K250" s="4">
        <f t="shared" si="58"/>
        <v>0</v>
      </c>
    </row>
    <row r="251" spans="2:11" ht="12.75">
      <c r="B251" t="s">
        <v>28</v>
      </c>
      <c r="C251" s="65"/>
      <c r="D251" s="4">
        <f>D250</f>
        <v>32</v>
      </c>
      <c r="E251" s="4">
        <f t="shared" si="57"/>
        <v>19.2</v>
      </c>
      <c r="F251" s="4">
        <f>IF('Pass&amp;CardChoice'!$B$39,D251-E251,IF('Pass&amp;CardChoice'!$B$40,IF(NOT(OR('Pass&amp;CardChoice'!$B$12,'Pass&amp;CardChoice'!$B$13,'Pass&amp;CardChoice'!$B$15)),D251,0),0))</f>
        <v>0</v>
      </c>
      <c r="G251" s="9"/>
      <c r="H251" s="1">
        <f>IF('Pass&amp;CardChoice'!$B$25,'Ticket Prices'!B189,IF('Pass&amp;CardChoice'!$B$26,'Ticket Prices'!$B$28,CHOOSE('Rental type'!A10,'Ticket Prices'!$H$19,'Ticket Prices'!$H$28,0)))</f>
        <v>0</v>
      </c>
      <c r="I251" s="1">
        <f t="shared" si="49"/>
        <v>0</v>
      </c>
      <c r="J251" s="1">
        <f t="shared" si="59"/>
        <v>0</v>
      </c>
      <c r="K251" s="4">
        <f t="shared" si="58"/>
        <v>0</v>
      </c>
    </row>
    <row r="252" spans="2:11" ht="12.75">
      <c r="B252" t="s">
        <v>29</v>
      </c>
      <c r="C252" s="65"/>
      <c r="D252" s="4">
        <f>D251</f>
        <v>32</v>
      </c>
      <c r="E252" s="4">
        <f t="shared" si="57"/>
        <v>19.2</v>
      </c>
      <c r="F252" s="4">
        <f>IF('Pass&amp;CardChoice'!$B$39,D252-E252,IF('Pass&amp;CardChoice'!$B$40,IF(NOT(OR('Pass&amp;CardChoice'!$B$12,'Pass&amp;CardChoice'!$B$13,'Pass&amp;CardChoice'!$B$15)),D252,0),0))</f>
        <v>0</v>
      </c>
      <c r="G252" s="9"/>
      <c r="H252" s="1">
        <f>IF('Pass&amp;CardChoice'!$B$25,'Ticket Prices'!B190,IF('Pass&amp;CardChoice'!$B$26,'Ticket Prices'!$B$28,CHOOSE('Rental type'!A11,'Ticket Prices'!$H$19,'Ticket Prices'!$H$28,0)))</f>
        <v>0</v>
      </c>
      <c r="I252" s="1">
        <f t="shared" si="49"/>
        <v>0</v>
      </c>
      <c r="J252" s="1">
        <f t="shared" si="59"/>
        <v>0</v>
      </c>
      <c r="K252" s="4">
        <f t="shared" si="58"/>
        <v>0</v>
      </c>
    </row>
    <row r="253" spans="2:11" ht="12.75">
      <c r="B253" t="s">
        <v>137</v>
      </c>
      <c r="C253" s="65"/>
      <c r="D253" s="4">
        <f>D246/2</f>
        <v>19</v>
      </c>
      <c r="E253" s="4">
        <f>D253</f>
        <v>19</v>
      </c>
      <c r="F253" s="4">
        <f>IF('Pass&amp;CardChoice'!$B$41,D253,IF('Pass&amp;CardChoice'!$B$39,D253-E253,IF('Pass&amp;CardChoice'!$B$40,IF(NOT(OR('Pass&amp;CardChoice'!$B$12,'Pass&amp;CardChoice'!$B$13,'Pass&amp;CardChoice'!$B$14)),D253,0),0)))</f>
        <v>0</v>
      </c>
      <c r="G253" s="9"/>
      <c r="H253" s="1">
        <f>IF('Pass&amp;CardChoice'!$B$25,'Ticket Prices'!B191,IF('Pass&amp;CardChoice'!$B$26,'Ticket Prices'!$B$28,CHOOSE('Rental type'!A12,'Ticket Prices'!$H$19,'Ticket Prices'!$H$28,0)))</f>
        <v>0</v>
      </c>
      <c r="I253" s="1">
        <f t="shared" si="49"/>
        <v>0</v>
      </c>
      <c r="J253" s="1">
        <f>IF(OR('Pass&amp;CardChoice'!$B$25,'Pass&amp;CardChoice'!$B$26),H253,H253-I253)</f>
        <v>0</v>
      </c>
      <c r="K253" s="4">
        <f>(C253*F253)+(G253*D253)+(C253*J253)+(G253*H253)</f>
        <v>0</v>
      </c>
    </row>
    <row r="254" spans="2:11" ht="12.75">
      <c r="B254" t="s">
        <v>123</v>
      </c>
      <c r="C254" s="65"/>
      <c r="D254" s="4">
        <f>D246</f>
        <v>38</v>
      </c>
      <c r="E254" s="4">
        <f>0.6*D254</f>
        <v>22.8</v>
      </c>
      <c r="F254" s="4">
        <f>IF('Pass&amp;CardChoice'!$B$7,D254-E254,0)</f>
        <v>0</v>
      </c>
      <c r="G254" s="31"/>
      <c r="H254" s="31"/>
      <c r="I254" s="31"/>
      <c r="J254" s="31"/>
      <c r="K254" s="4">
        <v>0</v>
      </c>
    </row>
    <row r="255" spans="2:11" ht="12.75">
      <c r="B255" t="s">
        <v>124</v>
      </c>
      <c r="C255" s="65"/>
      <c r="D255" s="4">
        <f>D250</f>
        <v>32</v>
      </c>
      <c r="E255" s="4">
        <f>0.6*D255</f>
        <v>19.2</v>
      </c>
      <c r="F255" s="4">
        <f>IF('Pass&amp;CardChoice'!$B$7,D255-E255,0)</f>
        <v>0</v>
      </c>
      <c r="G255" s="31"/>
      <c r="H255" s="31"/>
      <c r="I255" s="31"/>
      <c r="J255" s="31"/>
      <c r="K255" s="4">
        <v>0</v>
      </c>
    </row>
    <row r="256" spans="1:11" ht="12.75">
      <c r="A256" t="s">
        <v>12</v>
      </c>
      <c r="D256" s="4"/>
      <c r="E256" s="4"/>
      <c r="K256" s="4"/>
    </row>
    <row r="257" spans="2:11" ht="12.75">
      <c r="B257" t="s">
        <v>25</v>
      </c>
      <c r="C257" s="65"/>
      <c r="D257" s="4">
        <f>'Ticket Prices'!H7</f>
        <v>55</v>
      </c>
      <c r="E257" s="4">
        <f>0.6*D257</f>
        <v>33</v>
      </c>
      <c r="F257" s="4">
        <f>IF('Pass&amp;CardChoice'!$B$39,D257-E257,IF('Pass&amp;CardChoice'!$B$40,IF(NOT(OR('Pass&amp;CardChoice'!$B$12,'Pass&amp;CardChoice'!$B$13,'Pass&amp;CardChoice'!$B$14,'Pass&amp;CardChoice'!$B$15)),D257,0),0))</f>
        <v>0</v>
      </c>
      <c r="G257" s="9"/>
      <c r="H257" s="1">
        <f>CHOOSE('Rental type'!A5,'Ticket Prices'!$H$22,'Ticket Prices'!$H$31,0)</f>
        <v>0</v>
      </c>
      <c r="I257" s="1">
        <f t="shared" si="49"/>
        <v>0</v>
      </c>
      <c r="J257" s="1">
        <f aca="true" t="shared" si="60" ref="J257:J263">H257-I257</f>
        <v>0</v>
      </c>
      <c r="K257" s="4">
        <f aca="true" t="shared" si="61" ref="K257:K263">(C257*F257)+(G257*D257)+(C257*J257)+(G257*H257)</f>
        <v>0</v>
      </c>
    </row>
    <row r="258" spans="2:11" ht="12.75">
      <c r="B258" t="s">
        <v>26</v>
      </c>
      <c r="C258" s="65"/>
      <c r="D258" s="4">
        <f>D257</f>
        <v>55</v>
      </c>
      <c r="E258" s="4">
        <f>0.6*D258</f>
        <v>33</v>
      </c>
      <c r="F258" s="4">
        <f>IF('Pass&amp;CardChoice'!$B$39,D258-E258,IF('Pass&amp;CardChoice'!$B$40,IF(NOT(OR('Pass&amp;CardChoice'!$B$12,'Pass&amp;CardChoice'!$B$13,'Pass&amp;CardChoice'!$B$14,'Pass&amp;CardChoice'!$B$15)),D258,0),0))</f>
        <v>0</v>
      </c>
      <c r="G258" s="9"/>
      <c r="H258" s="1">
        <f>CHOOSE('Rental type'!A6,'Ticket Prices'!$H$22,'Ticket Prices'!$H$31,0)</f>
        <v>0</v>
      </c>
      <c r="I258" s="1">
        <f t="shared" si="49"/>
        <v>0</v>
      </c>
      <c r="J258" s="1">
        <f t="shared" si="60"/>
        <v>0</v>
      </c>
      <c r="K258" s="4">
        <f t="shared" si="61"/>
        <v>0</v>
      </c>
    </row>
    <row r="259" spans="2:11" ht="12.75">
      <c r="B259" t="s">
        <v>39</v>
      </c>
      <c r="C259" s="65"/>
      <c r="D259" s="4">
        <f>D258</f>
        <v>55</v>
      </c>
      <c r="E259" s="4">
        <f>0.6*D259</f>
        <v>33</v>
      </c>
      <c r="F259" s="4">
        <f>IF('Pass&amp;CardChoice'!$B$39,D259-E259,IF('Pass&amp;CardChoice'!$B$40,IF(NOT(OR('Pass&amp;CardChoice'!$B$12,'Pass&amp;CardChoice'!$B$13,'Pass&amp;CardChoice'!$B$14,'Pass&amp;CardChoice'!$B$15)),D259,0),0))</f>
        <v>0</v>
      </c>
      <c r="G259" s="9"/>
      <c r="H259" s="1">
        <f>CHOOSE('Rental type'!A7,'Ticket Prices'!$H$22,'Ticket Prices'!$H$31,0)</f>
        <v>0</v>
      </c>
      <c r="I259" s="1">
        <f t="shared" si="49"/>
        <v>0</v>
      </c>
      <c r="J259" s="1">
        <f>H259-I259</f>
        <v>0</v>
      </c>
      <c r="K259" s="4">
        <f t="shared" si="61"/>
        <v>0</v>
      </c>
    </row>
    <row r="260" spans="2:11" ht="12.75">
      <c r="B260" t="s">
        <v>40</v>
      </c>
      <c r="C260" s="65"/>
      <c r="D260" s="4">
        <f>D259</f>
        <v>55</v>
      </c>
      <c r="E260" s="4">
        <f>0.6*D260</f>
        <v>33</v>
      </c>
      <c r="F260" s="4">
        <f>IF('Pass&amp;CardChoice'!$B$39,D260-E260,IF('Pass&amp;CardChoice'!$B$40,IF(NOT(OR('Pass&amp;CardChoice'!$B$12,'Pass&amp;CardChoice'!$B$13,'Pass&amp;CardChoice'!$B$14,'Pass&amp;CardChoice'!$B$15)),D260,0),0))</f>
        <v>0</v>
      </c>
      <c r="G260" s="9"/>
      <c r="H260" s="1">
        <f>CHOOSE('Rental type'!A8,'Ticket Prices'!$H$22,'Ticket Prices'!$H$31,0)</f>
        <v>0</v>
      </c>
      <c r="I260" s="1">
        <f t="shared" si="49"/>
        <v>0</v>
      </c>
      <c r="J260" s="1">
        <f>H260-I260</f>
        <v>0</v>
      </c>
      <c r="K260" s="4">
        <f t="shared" si="61"/>
        <v>0</v>
      </c>
    </row>
    <row r="261" spans="2:11" ht="12.75">
      <c r="B261" t="s">
        <v>27</v>
      </c>
      <c r="C261" s="65"/>
      <c r="D261" s="4">
        <f>'Ticket Prices'!H11</f>
        <v>47</v>
      </c>
      <c r="E261" s="4">
        <f t="shared" si="52"/>
        <v>28.2</v>
      </c>
      <c r="F261" s="4">
        <f>IF('Pass&amp;CardChoice'!$B$39,D261-E261,IF('Pass&amp;CardChoice'!$B$40,IF(NOT(OR('Pass&amp;CardChoice'!$B$12,'Pass&amp;CardChoice'!$B$13,'Pass&amp;CardChoice'!$B$14,'Pass&amp;CardChoice'!$B$15)),D261,0),0))</f>
        <v>0</v>
      </c>
      <c r="G261" s="9"/>
      <c r="H261" s="1">
        <f>CHOOSE('Rental type'!A9,'Ticket Prices'!$H$22,'Ticket Prices'!$H$31,0)</f>
        <v>0</v>
      </c>
      <c r="I261" s="1">
        <f t="shared" si="49"/>
        <v>0</v>
      </c>
      <c r="J261" s="1">
        <f t="shared" si="60"/>
        <v>0</v>
      </c>
      <c r="K261" s="4">
        <f t="shared" si="61"/>
        <v>0</v>
      </c>
    </row>
    <row r="262" spans="2:11" ht="12.75">
      <c r="B262" t="s">
        <v>28</v>
      </c>
      <c r="C262" s="65"/>
      <c r="D262" s="4">
        <f>D261</f>
        <v>47</v>
      </c>
      <c r="E262" s="4">
        <f t="shared" si="52"/>
        <v>28.2</v>
      </c>
      <c r="F262" s="4">
        <f>IF('Pass&amp;CardChoice'!$B$39,D262-E262,IF('Pass&amp;CardChoice'!$B$40,IF(NOT(OR('Pass&amp;CardChoice'!$B$12,'Pass&amp;CardChoice'!$B$13,'Pass&amp;CardChoice'!$B$14,'Pass&amp;CardChoice'!$B$15)),D262,0),0))</f>
        <v>0</v>
      </c>
      <c r="G262" s="9"/>
      <c r="H262" s="1">
        <f>CHOOSE('Rental type'!A10,'Ticket Prices'!$H$22,'Ticket Prices'!$H$31,0)</f>
        <v>0</v>
      </c>
      <c r="I262" s="1">
        <f t="shared" si="49"/>
        <v>0</v>
      </c>
      <c r="J262" s="1">
        <f t="shared" si="60"/>
        <v>0</v>
      </c>
      <c r="K262" s="4">
        <f t="shared" si="61"/>
        <v>0</v>
      </c>
    </row>
    <row r="263" spans="2:11" ht="12.75">
      <c r="B263" t="s">
        <v>29</v>
      </c>
      <c r="C263" s="65"/>
      <c r="D263" s="4">
        <f>D262</f>
        <v>47</v>
      </c>
      <c r="E263" s="4">
        <f t="shared" si="52"/>
        <v>28.2</v>
      </c>
      <c r="F263" s="4">
        <f>IF('Pass&amp;CardChoice'!$B$39,D263-E263,IF('Pass&amp;CardChoice'!$B$40,IF(NOT(OR('Pass&amp;CardChoice'!$B$12,'Pass&amp;CardChoice'!$B$13,'Pass&amp;CardChoice'!$B$14,'Pass&amp;CardChoice'!$B$15)),D263,0),0))</f>
        <v>0</v>
      </c>
      <c r="G263" s="9"/>
      <c r="H263" s="1">
        <f>CHOOSE('Rental type'!A11,'Ticket Prices'!$H$22,'Ticket Prices'!$H$31,0)</f>
        <v>0</v>
      </c>
      <c r="I263" s="1">
        <f t="shared" si="49"/>
        <v>0</v>
      </c>
      <c r="J263" s="1">
        <f t="shared" si="60"/>
        <v>0</v>
      </c>
      <c r="K263" s="4">
        <f t="shared" si="61"/>
        <v>0</v>
      </c>
    </row>
    <row r="264" spans="2:11" ht="12.75">
      <c r="B264" t="s">
        <v>137</v>
      </c>
      <c r="C264" s="65"/>
      <c r="D264" s="4">
        <f>D257/2</f>
        <v>27.5</v>
      </c>
      <c r="E264" s="4">
        <f>D264</f>
        <v>27.5</v>
      </c>
      <c r="F264" s="4">
        <f>IF('Pass&amp;CardChoice'!$B$39,D264-E264,IF('Pass&amp;CardChoice'!$B$40,IF(NOT(OR('Pass&amp;CardChoice'!$B$12,'Pass&amp;CardChoice'!$B$14,'Pass&amp;CardChoice'!$B$15)),D264,0),0))</f>
        <v>0</v>
      </c>
      <c r="G264" s="9"/>
      <c r="H264" s="1">
        <f>CHOOSE('Rental type'!A12,'Ticket Prices'!$H$22,'Ticket Prices'!$H$31,0)</f>
        <v>0</v>
      </c>
      <c r="I264" s="1">
        <f t="shared" si="49"/>
        <v>0</v>
      </c>
      <c r="J264" s="1">
        <f>H264-I264</f>
        <v>0</v>
      </c>
      <c r="K264" s="4">
        <f>(C264*F264)+(G264*D264)+(C264*J264)+(G264*H264)</f>
        <v>0</v>
      </c>
    </row>
    <row r="265" spans="2:11" ht="12.75">
      <c r="B265" t="s">
        <v>123</v>
      </c>
      <c r="C265" s="65"/>
      <c r="D265" s="4">
        <f>D257</f>
        <v>55</v>
      </c>
      <c r="E265" s="4">
        <f>0.6*D265</f>
        <v>33</v>
      </c>
      <c r="F265" s="4">
        <f>IF('Pass&amp;CardChoice'!$B$7,D265-E265,0)</f>
        <v>0</v>
      </c>
      <c r="G265" s="31"/>
      <c r="H265" s="31"/>
      <c r="I265" s="31"/>
      <c r="J265" s="31"/>
      <c r="K265" s="4">
        <v>0</v>
      </c>
    </row>
    <row r="266" spans="2:11" ht="12.75">
      <c r="B266" t="s">
        <v>124</v>
      </c>
      <c r="C266" s="65"/>
      <c r="D266" s="4">
        <f>D261</f>
        <v>47</v>
      </c>
      <c r="E266" s="4">
        <f>0.6*D266</f>
        <v>28.2</v>
      </c>
      <c r="F266" s="4">
        <f>IF('Pass&amp;CardChoice'!$B$7,D266-E266,0)</f>
        <v>0</v>
      </c>
      <c r="G266" s="31"/>
      <c r="H266" s="31"/>
      <c r="I266" s="31"/>
      <c r="J266" s="31"/>
      <c r="K266" s="4">
        <v>0</v>
      </c>
    </row>
    <row r="267" spans="1:11" ht="12.75">
      <c r="A267" t="s">
        <v>5</v>
      </c>
      <c r="D267" s="4"/>
      <c r="E267" s="4"/>
      <c r="K267" s="4"/>
    </row>
    <row r="268" spans="2:11" ht="12.75">
      <c r="B268" t="s">
        <v>25</v>
      </c>
      <c r="C268" s="65"/>
      <c r="D268" s="4">
        <f>'Ticket Prices'!H6</f>
        <v>47</v>
      </c>
      <c r="E268" s="4">
        <f t="shared" si="52"/>
        <v>28.2</v>
      </c>
      <c r="F268" s="4">
        <f>IF('Pass&amp;CardChoice'!$B$39,D268-E268,IF('Pass&amp;CardChoice'!$B$40,IF(NOT(OR('Pass&amp;CardChoice'!$B$12,'Pass&amp;CardChoice'!$B$13,'Pass&amp;CardChoice'!$B$14,'Pass&amp;CardChoice'!$B$15)),D268,0),0))</f>
        <v>0</v>
      </c>
      <c r="G268" s="9"/>
      <c r="H268" s="1">
        <f>CHOOSE('Rental type'!A5,'Ticket Prices'!$H$21,'Ticket Prices'!$H$30,0)</f>
        <v>0</v>
      </c>
      <c r="I268" s="1">
        <f t="shared" si="49"/>
        <v>0</v>
      </c>
      <c r="J268" s="1">
        <f aca="true" t="shared" si="62" ref="J268:J274">H268-I268</f>
        <v>0</v>
      </c>
      <c r="K268" s="4">
        <f aca="true" t="shared" si="63" ref="K268:K274">(C268*F268)+(G268*D268)+(C268*J268)+(G268*H268)</f>
        <v>0</v>
      </c>
    </row>
    <row r="269" spans="2:11" ht="12.75">
      <c r="B269" t="s">
        <v>26</v>
      </c>
      <c r="C269" s="65"/>
      <c r="D269" s="4">
        <f>D268</f>
        <v>47</v>
      </c>
      <c r="E269" s="4">
        <f t="shared" si="52"/>
        <v>28.2</v>
      </c>
      <c r="F269" s="4">
        <f>IF('Pass&amp;CardChoice'!$B$39,D269-E269,IF('Pass&amp;CardChoice'!$B$40,IF(NOT(OR('Pass&amp;CardChoice'!$B$12,'Pass&amp;CardChoice'!$B$13,'Pass&amp;CardChoice'!$B$14,'Pass&amp;CardChoice'!$B$15)),D269,0),0))</f>
        <v>0</v>
      </c>
      <c r="G269" s="9"/>
      <c r="H269" s="1">
        <f>CHOOSE('Rental type'!A6,'Ticket Prices'!$H$21,'Ticket Prices'!$H$30,0)</f>
        <v>0</v>
      </c>
      <c r="I269" s="1">
        <f t="shared" si="49"/>
        <v>0</v>
      </c>
      <c r="J269" s="1">
        <f t="shared" si="62"/>
        <v>0</v>
      </c>
      <c r="K269" s="4">
        <f t="shared" si="63"/>
        <v>0</v>
      </c>
    </row>
    <row r="270" spans="2:11" ht="12.75">
      <c r="B270" t="s">
        <v>39</v>
      </c>
      <c r="C270" s="65"/>
      <c r="D270" s="4">
        <f>D269</f>
        <v>47</v>
      </c>
      <c r="E270" s="4">
        <f t="shared" si="52"/>
        <v>28.2</v>
      </c>
      <c r="F270" s="4">
        <f>IF('Pass&amp;CardChoice'!$B$39,D270-E270,IF('Pass&amp;CardChoice'!$B$40,IF(NOT(OR('Pass&amp;CardChoice'!$B$12,'Pass&amp;CardChoice'!$B$13,'Pass&amp;CardChoice'!$B$14,'Pass&amp;CardChoice'!$B$15)),D270,0),0))</f>
        <v>0</v>
      </c>
      <c r="G270" s="9"/>
      <c r="H270" s="1">
        <f>CHOOSE('Rental type'!A7,'Ticket Prices'!$H$21,'Ticket Prices'!$H$30,0)</f>
        <v>0</v>
      </c>
      <c r="I270" s="1">
        <f t="shared" si="49"/>
        <v>0</v>
      </c>
      <c r="J270" s="1">
        <f>H270-I270</f>
        <v>0</v>
      </c>
      <c r="K270" s="4">
        <f t="shared" si="63"/>
        <v>0</v>
      </c>
    </row>
    <row r="271" spans="2:11" ht="12.75">
      <c r="B271" t="s">
        <v>40</v>
      </c>
      <c r="C271" s="65"/>
      <c r="D271" s="4">
        <f>D270</f>
        <v>47</v>
      </c>
      <c r="E271" s="4">
        <f t="shared" si="52"/>
        <v>28.2</v>
      </c>
      <c r="F271" s="4">
        <f>IF('Pass&amp;CardChoice'!$B$39,D271-E271,IF('Pass&amp;CardChoice'!$B$40,IF(NOT(OR('Pass&amp;CardChoice'!$B$12,'Pass&amp;CardChoice'!$B$13,'Pass&amp;CardChoice'!$B$14,'Pass&amp;CardChoice'!$B$15)),D271,0),0))</f>
        <v>0</v>
      </c>
      <c r="G271" s="9"/>
      <c r="H271" s="1">
        <f>CHOOSE('Rental type'!A8,'Ticket Prices'!$H$21,'Ticket Prices'!$H$30,0)</f>
        <v>0</v>
      </c>
      <c r="I271" s="1">
        <f t="shared" si="49"/>
        <v>0</v>
      </c>
      <c r="J271" s="1">
        <f>H271-I271</f>
        <v>0</v>
      </c>
      <c r="K271" s="4">
        <f t="shared" si="63"/>
        <v>0</v>
      </c>
    </row>
    <row r="272" spans="2:11" ht="12.75">
      <c r="B272" t="s">
        <v>27</v>
      </c>
      <c r="C272" s="65"/>
      <c r="D272" s="4">
        <f>'Ticket Prices'!H10</f>
        <v>42</v>
      </c>
      <c r="E272" s="4">
        <f t="shared" si="52"/>
        <v>25.2</v>
      </c>
      <c r="F272" s="4">
        <f>IF('Pass&amp;CardChoice'!$B$39,D272-E272,IF('Pass&amp;CardChoice'!$B$40,IF(NOT(OR('Pass&amp;CardChoice'!$B$12,'Pass&amp;CardChoice'!$B$13,'Pass&amp;CardChoice'!$B$14,'Pass&amp;CardChoice'!$B$15)),D272,0),0))</f>
        <v>0</v>
      </c>
      <c r="G272" s="9"/>
      <c r="H272" s="1">
        <f>CHOOSE('Rental type'!A9,'Ticket Prices'!$H$21,'Ticket Prices'!$H$30,0)</f>
        <v>0</v>
      </c>
      <c r="I272" s="1">
        <f t="shared" si="49"/>
        <v>0</v>
      </c>
      <c r="J272" s="1">
        <f t="shared" si="62"/>
        <v>0</v>
      </c>
      <c r="K272" s="4">
        <f t="shared" si="63"/>
        <v>0</v>
      </c>
    </row>
    <row r="273" spans="2:11" ht="12.75">
      <c r="B273" t="s">
        <v>28</v>
      </c>
      <c r="C273" s="65"/>
      <c r="D273" s="4">
        <f>D272</f>
        <v>42</v>
      </c>
      <c r="E273" s="4">
        <f t="shared" si="52"/>
        <v>25.2</v>
      </c>
      <c r="F273" s="4">
        <f>IF('Pass&amp;CardChoice'!$B$39,D273-E273,IF('Pass&amp;CardChoice'!$B$40,IF(NOT(OR('Pass&amp;CardChoice'!$B$12,'Pass&amp;CardChoice'!$B$13,'Pass&amp;CardChoice'!$B$14,'Pass&amp;CardChoice'!$B$15)),D273,0),0))</f>
        <v>0</v>
      </c>
      <c r="G273" s="9"/>
      <c r="H273" s="1">
        <f>CHOOSE('Rental type'!A10,'Ticket Prices'!$H$21,'Ticket Prices'!$H$30,0)</f>
        <v>0</v>
      </c>
      <c r="I273" s="1">
        <f t="shared" si="49"/>
        <v>0</v>
      </c>
      <c r="J273" s="1">
        <f t="shared" si="62"/>
        <v>0</v>
      </c>
      <c r="K273" s="4">
        <f t="shared" si="63"/>
        <v>0</v>
      </c>
    </row>
    <row r="274" spans="2:11" ht="12.75">
      <c r="B274" t="s">
        <v>29</v>
      </c>
      <c r="C274" s="65"/>
      <c r="D274" s="4">
        <f>D273</f>
        <v>42</v>
      </c>
      <c r="E274" s="4">
        <f t="shared" si="52"/>
        <v>25.2</v>
      </c>
      <c r="F274" s="4">
        <f>IF('Pass&amp;CardChoice'!$B$39,D274-E274,IF('Pass&amp;CardChoice'!$B$40,IF(NOT(OR('Pass&amp;CardChoice'!$B$12,'Pass&amp;CardChoice'!$B$13,'Pass&amp;CardChoice'!$B$14,'Pass&amp;CardChoice'!$B$15)),D274,0),0))</f>
        <v>0</v>
      </c>
      <c r="G274" s="9"/>
      <c r="H274" s="1">
        <f>CHOOSE('Rental type'!A11,'Ticket Prices'!$H$21,'Ticket Prices'!$H$30,0)</f>
        <v>0</v>
      </c>
      <c r="I274" s="1">
        <f t="shared" si="49"/>
        <v>0</v>
      </c>
      <c r="J274" s="1">
        <f t="shared" si="62"/>
        <v>0</v>
      </c>
      <c r="K274" s="4">
        <f t="shared" si="63"/>
        <v>0</v>
      </c>
    </row>
    <row r="275" spans="2:11" ht="12.75">
      <c r="B275" t="s">
        <v>137</v>
      </c>
      <c r="C275" s="65"/>
      <c r="D275" s="4">
        <f>D268/2</f>
        <v>23.5</v>
      </c>
      <c r="E275" s="4">
        <f>D275</f>
        <v>23.5</v>
      </c>
      <c r="F275" s="4">
        <f>IF('Pass&amp;CardChoice'!$B$39,D275-E275,IF('Pass&amp;CardChoice'!$B$40,IF(NOT(OR('Pass&amp;CardChoice'!$B$12,'Pass&amp;CardChoice'!$B$14,'Pass&amp;CardChoice'!$B$15)),D275,0),0))</f>
        <v>0</v>
      </c>
      <c r="G275" s="9"/>
      <c r="H275" s="1">
        <f>CHOOSE('Rental type'!A12,'Ticket Prices'!$H$21,'Ticket Prices'!$H$30,0)</f>
        <v>0</v>
      </c>
      <c r="I275" s="1">
        <f t="shared" si="49"/>
        <v>0</v>
      </c>
      <c r="J275" s="1">
        <f>H275-I275</f>
        <v>0</v>
      </c>
      <c r="K275" s="4">
        <f>(C275*F275)+(G275*D275)+(C275*J275)+(G275*H275)</f>
        <v>0</v>
      </c>
    </row>
    <row r="276" spans="2:11" ht="12.75">
      <c r="B276" t="s">
        <v>123</v>
      </c>
      <c r="C276" s="65"/>
      <c r="D276" s="4">
        <f>D268</f>
        <v>47</v>
      </c>
      <c r="E276" s="4">
        <f>0.6*D276</f>
        <v>28.2</v>
      </c>
      <c r="F276" s="4">
        <f>IF('Pass&amp;CardChoice'!$B$7,D276-E276,0)</f>
        <v>0</v>
      </c>
      <c r="G276" s="31"/>
      <c r="H276" s="31"/>
      <c r="I276" s="31"/>
      <c r="J276" s="31"/>
      <c r="K276" s="4">
        <v>0</v>
      </c>
    </row>
    <row r="277" spans="2:11" ht="12.75">
      <c r="B277" t="s">
        <v>124</v>
      </c>
      <c r="C277" s="65"/>
      <c r="D277" s="4">
        <f>D272</f>
        <v>42</v>
      </c>
      <c r="E277" s="4">
        <f>0.6*D277</f>
        <v>25.2</v>
      </c>
      <c r="F277" s="4">
        <f>IF('Pass&amp;CardChoice'!$B$7,D277-E277,0)</f>
        <v>0</v>
      </c>
      <c r="G277" s="31"/>
      <c r="H277" s="31"/>
      <c r="I277" s="31"/>
      <c r="J277" s="31"/>
      <c r="K277" s="4">
        <v>0</v>
      </c>
    </row>
    <row r="278" spans="1:11" ht="13.5" customHeight="1">
      <c r="A278" t="s">
        <v>8</v>
      </c>
      <c r="D278" s="4"/>
      <c r="E278" s="4"/>
      <c r="K278" s="4"/>
    </row>
    <row r="279" spans="2:11" ht="12.75">
      <c r="B279" t="s">
        <v>25</v>
      </c>
      <c r="C279" s="65"/>
      <c r="D279" s="4">
        <f>'Ticket Prices'!H5</f>
        <v>42</v>
      </c>
      <c r="E279" s="4">
        <f t="shared" si="52"/>
        <v>25.2</v>
      </c>
      <c r="F279" s="4">
        <f>IF('Pass&amp;CardChoice'!$B$39,D279-E279,IF('Pass&amp;CardChoice'!$B$40,IF(NOT(OR('Pass&amp;CardChoice'!$B$12,'Pass&amp;CardChoice'!$B$13,'Pass&amp;CardChoice'!$B$14,'Pass&amp;CardChoice'!$B$15)),D279,0),0))</f>
        <v>0</v>
      </c>
      <c r="G279" s="9"/>
      <c r="H279" s="1">
        <f>CHOOSE('Rental type'!A5,'Ticket Prices'!$H$20,'Ticket Prices'!$H$29,0)</f>
        <v>0</v>
      </c>
      <c r="I279" s="1">
        <f t="shared" si="49"/>
        <v>0</v>
      </c>
      <c r="J279" s="1">
        <f aca="true" t="shared" si="64" ref="J279:J285">H279-I279</f>
        <v>0</v>
      </c>
      <c r="K279" s="4">
        <f aca="true" t="shared" si="65" ref="K279:K285">(C279*F279)+(G279*D279)+(C279*J279)+(G279*H279)</f>
        <v>0</v>
      </c>
    </row>
    <row r="280" spans="2:11" ht="12.75">
      <c r="B280" t="s">
        <v>26</v>
      </c>
      <c r="C280" s="65"/>
      <c r="D280" s="4">
        <f>D279</f>
        <v>42</v>
      </c>
      <c r="E280" s="4">
        <f t="shared" si="52"/>
        <v>25.2</v>
      </c>
      <c r="F280" s="4">
        <f>IF('Pass&amp;CardChoice'!$B$39,D280-E280,IF('Pass&amp;CardChoice'!$B$40,IF(NOT(OR('Pass&amp;CardChoice'!$B$12,'Pass&amp;CardChoice'!$B$13,'Pass&amp;CardChoice'!$B$14,'Pass&amp;CardChoice'!$B$15)),D280,0),0))</f>
        <v>0</v>
      </c>
      <c r="G280" s="9"/>
      <c r="H280" s="1">
        <f>CHOOSE('Rental type'!A6,'Ticket Prices'!$H$20,'Ticket Prices'!$H$29,0)</f>
        <v>0</v>
      </c>
      <c r="I280" s="1">
        <f t="shared" si="49"/>
        <v>0</v>
      </c>
      <c r="J280" s="1">
        <f t="shared" si="64"/>
        <v>0</v>
      </c>
      <c r="K280" s="4">
        <f t="shared" si="65"/>
        <v>0</v>
      </c>
    </row>
    <row r="281" spans="2:11" ht="12.75">
      <c r="B281" t="s">
        <v>39</v>
      </c>
      <c r="C281" s="65"/>
      <c r="D281" s="4">
        <f>D280</f>
        <v>42</v>
      </c>
      <c r="E281" s="4">
        <f t="shared" si="52"/>
        <v>25.2</v>
      </c>
      <c r="F281" s="4">
        <f>IF('Pass&amp;CardChoice'!$B$39,D281-E281,IF('Pass&amp;CardChoice'!$B$40,IF(NOT(OR('Pass&amp;CardChoice'!$B$12,'Pass&amp;CardChoice'!$B$13,'Pass&amp;CardChoice'!$B$14,'Pass&amp;CardChoice'!$B$15)),D281,0),0))</f>
        <v>0</v>
      </c>
      <c r="G281" s="9"/>
      <c r="H281" s="1">
        <f>CHOOSE('Rental type'!A7,'Ticket Prices'!$H$20,'Ticket Prices'!$H$29,0)</f>
        <v>0</v>
      </c>
      <c r="I281" s="1">
        <f t="shared" si="49"/>
        <v>0</v>
      </c>
      <c r="J281" s="1">
        <f>H281-I281</f>
        <v>0</v>
      </c>
      <c r="K281" s="4">
        <f t="shared" si="65"/>
        <v>0</v>
      </c>
    </row>
    <row r="282" spans="2:11" ht="12.75">
      <c r="B282" t="s">
        <v>40</v>
      </c>
      <c r="C282" s="65"/>
      <c r="D282" s="4">
        <f>D281</f>
        <v>42</v>
      </c>
      <c r="E282" s="4">
        <f t="shared" si="52"/>
        <v>25.2</v>
      </c>
      <c r="F282" s="4">
        <f>IF('Pass&amp;CardChoice'!$B$39,D282-E282,IF('Pass&amp;CardChoice'!$B$40,IF(NOT(OR('Pass&amp;CardChoice'!$B$12,'Pass&amp;CardChoice'!$B$13,'Pass&amp;CardChoice'!$B$14,'Pass&amp;CardChoice'!$B$15)),D282,0),0))</f>
        <v>0</v>
      </c>
      <c r="G282" s="9"/>
      <c r="H282" s="1">
        <f>CHOOSE('Rental type'!A8,'Ticket Prices'!$H$20,'Ticket Prices'!$H$29,0)</f>
        <v>0</v>
      </c>
      <c r="I282" s="1">
        <f t="shared" si="49"/>
        <v>0</v>
      </c>
      <c r="J282" s="1">
        <f>H282-I282</f>
        <v>0</v>
      </c>
      <c r="K282" s="4">
        <f t="shared" si="65"/>
        <v>0</v>
      </c>
    </row>
    <row r="283" spans="2:11" ht="12.75">
      <c r="B283" t="s">
        <v>27</v>
      </c>
      <c r="C283" s="65"/>
      <c r="D283" s="4">
        <f>'Ticket Prices'!H9</f>
        <v>37</v>
      </c>
      <c r="E283" s="4">
        <f t="shared" si="52"/>
        <v>22.2</v>
      </c>
      <c r="F283" s="4">
        <f>IF('Pass&amp;CardChoice'!$B$39,D283-E283,IF('Pass&amp;CardChoice'!$B$40,IF(NOT(OR('Pass&amp;CardChoice'!$B$12,'Pass&amp;CardChoice'!$B$13,'Pass&amp;CardChoice'!$B$14,'Pass&amp;CardChoice'!$B$15)),D283,0),0))</f>
        <v>0</v>
      </c>
      <c r="G283" s="9"/>
      <c r="H283" s="1">
        <f>CHOOSE('Rental type'!A9,'Ticket Prices'!$H$20,'Ticket Prices'!$H$29,0)</f>
        <v>0</v>
      </c>
      <c r="I283" s="1">
        <f t="shared" si="49"/>
        <v>0</v>
      </c>
      <c r="J283" s="1">
        <f t="shared" si="64"/>
        <v>0</v>
      </c>
      <c r="K283" s="4">
        <f t="shared" si="65"/>
        <v>0</v>
      </c>
    </row>
    <row r="284" spans="2:11" ht="12.75">
      <c r="B284" t="s">
        <v>28</v>
      </c>
      <c r="C284" s="65"/>
      <c r="D284" s="4">
        <f>D283</f>
        <v>37</v>
      </c>
      <c r="E284" s="4">
        <f t="shared" si="52"/>
        <v>22.2</v>
      </c>
      <c r="F284" s="4">
        <f>IF('Pass&amp;CardChoice'!$B$39,D284-E284,IF('Pass&amp;CardChoice'!$B$40,IF(NOT(OR('Pass&amp;CardChoice'!$B$12,'Pass&amp;CardChoice'!$B$13,'Pass&amp;CardChoice'!$B$14,'Pass&amp;CardChoice'!$B$15)),D284,0),0))</f>
        <v>0</v>
      </c>
      <c r="G284" s="9"/>
      <c r="H284" s="1">
        <f>CHOOSE('Rental type'!A10,'Ticket Prices'!$H$20,'Ticket Prices'!$H$29,0)</f>
        <v>0</v>
      </c>
      <c r="I284" s="1">
        <f t="shared" si="49"/>
        <v>0</v>
      </c>
      <c r="J284" s="1">
        <f t="shared" si="64"/>
        <v>0</v>
      </c>
      <c r="K284" s="4">
        <f t="shared" si="65"/>
        <v>0</v>
      </c>
    </row>
    <row r="285" spans="2:11" ht="12.75">
      <c r="B285" t="s">
        <v>29</v>
      </c>
      <c r="C285" s="65"/>
      <c r="D285" s="4">
        <f>D284</f>
        <v>37</v>
      </c>
      <c r="E285" s="4">
        <f t="shared" si="52"/>
        <v>22.2</v>
      </c>
      <c r="F285" s="4">
        <f>IF('Pass&amp;CardChoice'!$B$39,D285-E285,IF('Pass&amp;CardChoice'!$B$40,IF(NOT(OR('Pass&amp;CardChoice'!$B$12,'Pass&amp;CardChoice'!$B$13,'Pass&amp;CardChoice'!$B$14,'Pass&amp;CardChoice'!$B$15)),D285,0),0))</f>
        <v>0</v>
      </c>
      <c r="G285" s="9"/>
      <c r="H285" s="1">
        <f>CHOOSE('Rental type'!A11,'Ticket Prices'!$H$20,'Ticket Prices'!$H$29,0)</f>
        <v>0</v>
      </c>
      <c r="I285" s="1">
        <f t="shared" si="49"/>
        <v>0</v>
      </c>
      <c r="J285" s="1">
        <f t="shared" si="64"/>
        <v>0</v>
      </c>
      <c r="K285" s="4">
        <f t="shared" si="65"/>
        <v>0</v>
      </c>
    </row>
    <row r="286" spans="2:11" ht="12.75">
      <c r="B286" t="s">
        <v>137</v>
      </c>
      <c r="C286" s="65"/>
      <c r="D286" s="4">
        <f>D279/2</f>
        <v>21</v>
      </c>
      <c r="E286" s="4">
        <f>D286</f>
        <v>21</v>
      </c>
      <c r="F286" s="4">
        <f>IF('Pass&amp;CardChoice'!$B$39,D286-E286,IF('Pass&amp;CardChoice'!$B$40,IF(NOT(OR('Pass&amp;CardChoice'!$B$12,'Pass&amp;CardChoice'!$B$14,'Pass&amp;CardChoice'!$B$15)),D286,0),0))</f>
        <v>0</v>
      </c>
      <c r="G286" s="9"/>
      <c r="H286" s="1">
        <f>CHOOSE('Rental type'!A12,'Ticket Prices'!$H$20,'Ticket Prices'!$H$29,0)</f>
        <v>0</v>
      </c>
      <c r="I286" s="1">
        <f t="shared" si="49"/>
        <v>0</v>
      </c>
      <c r="J286" s="1">
        <f>H286-I286</f>
        <v>0</v>
      </c>
      <c r="K286" s="4">
        <f>(C286*F286)+(G286*D286)+(C286*J286)+(G286*H286)</f>
        <v>0</v>
      </c>
    </row>
    <row r="287" spans="2:11" ht="12.75">
      <c r="B287" t="s">
        <v>123</v>
      </c>
      <c r="C287" s="65"/>
      <c r="D287" s="4">
        <f>D279</f>
        <v>42</v>
      </c>
      <c r="E287" s="4">
        <f>0.6*D287</f>
        <v>25.2</v>
      </c>
      <c r="F287" s="4">
        <f>IF('Pass&amp;CardChoice'!$B$7,D287-E287,0)</f>
        <v>0</v>
      </c>
      <c r="G287" s="31"/>
      <c r="H287" s="31"/>
      <c r="I287" s="31"/>
      <c r="J287" s="31"/>
      <c r="K287" s="4">
        <v>0</v>
      </c>
    </row>
    <row r="288" spans="2:11" ht="12.75">
      <c r="B288" t="s">
        <v>124</v>
      </c>
      <c r="C288" s="65"/>
      <c r="D288" s="4">
        <f>D283</f>
        <v>37</v>
      </c>
      <c r="E288" s="4">
        <f>0.6*D288</f>
        <v>22.2</v>
      </c>
      <c r="F288" s="4">
        <f>IF('Pass&amp;CardChoice'!$B$7,D288-E288,0)</f>
        <v>0</v>
      </c>
      <c r="G288" s="31"/>
      <c r="H288" s="31"/>
      <c r="I288" s="31"/>
      <c r="J288" s="31"/>
      <c r="K288" s="4">
        <v>0</v>
      </c>
    </row>
    <row r="289" spans="1:11" ht="12.75">
      <c r="A289" t="s">
        <v>14</v>
      </c>
      <c r="C289" s="18"/>
      <c r="D289" s="4"/>
      <c r="E289" s="4"/>
      <c r="K289" s="6"/>
    </row>
    <row r="290" spans="2:11" ht="12.75">
      <c r="B290" t="s">
        <v>1</v>
      </c>
      <c r="C290" s="65"/>
      <c r="D290" s="4">
        <f>'Ticket Prices'!H35</f>
        <v>36</v>
      </c>
      <c r="E290" s="4">
        <f>0.6*D290</f>
        <v>21.599999999999998</v>
      </c>
      <c r="F290" s="4">
        <f>IF('Pass&amp;CardChoice'!$B$39,D290-E290,IF('Pass&amp;CardChoice'!$B$40,0.5*D290,0))</f>
        <v>0</v>
      </c>
      <c r="K290" s="6">
        <f>C290*F290</f>
        <v>0</v>
      </c>
    </row>
    <row r="291" spans="2:11" ht="12.75">
      <c r="B291" t="s">
        <v>129</v>
      </c>
      <c r="C291" s="65"/>
      <c r="D291" s="4">
        <v>33</v>
      </c>
      <c r="E291" s="4">
        <f>0.6*D291</f>
        <v>19.8</v>
      </c>
      <c r="F291" s="4">
        <f>IF('Pass&amp;CardChoice'!$B$39,D291-E291,IF('Pass&amp;CardChoice'!$B$40,0.5*D291,0))</f>
        <v>0</v>
      </c>
      <c r="K291" s="6">
        <f>C291*F291</f>
        <v>0</v>
      </c>
    </row>
    <row r="292" spans="6:10" ht="12.75">
      <c r="F292"/>
      <c r="G292"/>
      <c r="H292"/>
      <c r="I292"/>
      <c r="J292"/>
    </row>
    <row r="293" ht="12.75">
      <c r="K293" s="7">
        <f>SUM(K212:K292)</f>
        <v>0</v>
      </c>
    </row>
    <row r="294" spans="3:11" ht="24" customHeight="1">
      <c r="C294" t="s">
        <v>75</v>
      </c>
      <c r="G294" s="1" t="s">
        <v>56</v>
      </c>
      <c r="K294" s="1" t="s">
        <v>22</v>
      </c>
    </row>
    <row r="295" spans="3:7" ht="12.75">
      <c r="C295">
        <f>SUM(C14:C292)</f>
        <v>0</v>
      </c>
      <c r="G295" s="1">
        <f>SUM(G15:G286)</f>
        <v>0</v>
      </c>
    </row>
    <row r="297" spans="1:11" ht="25.5">
      <c r="A297" t="s">
        <v>142</v>
      </c>
      <c r="J297" s="1" t="s">
        <v>187</v>
      </c>
      <c r="K297">
        <f>'Season Pass Discounts'!K58</f>
        <v>0</v>
      </c>
    </row>
    <row r="298" spans="10:11" ht="25.5">
      <c r="J298" s="1" t="s">
        <v>233</v>
      </c>
      <c r="K298">
        <f>IF('Pass&amp;CardChoice'!B42,#REF!,0)</f>
        <v>0</v>
      </c>
    </row>
    <row r="299" spans="10:11" ht="25.5">
      <c r="J299" s="1" t="s">
        <v>188</v>
      </c>
      <c r="K299">
        <f>'Advantage Discounts'!L31</f>
        <v>0</v>
      </c>
    </row>
  </sheetData>
  <mergeCells count="1">
    <mergeCell ref="D7:E7"/>
  </mergeCells>
  <conditionalFormatting sqref="B10">
    <cfRule type="cellIs" priority="1" dxfId="0" operator="lessThan" stopIfTrue="1">
      <formula>0</formula>
    </cfRule>
  </conditionalFormatting>
  <hyperlinks>
    <hyperlink ref="B7" r:id="rId1" display="Click here to buy online"/>
    <hyperlink ref="D7:E7" r:id="rId2" display="Click here to find where and when you can get show discounts"/>
    <hyperlink ref="A12" r:id="rId3" display="Whitetail"/>
    <hyperlink ref="A116" r:id="rId4" display="Liberty Mountain Resort"/>
    <hyperlink ref="A210" r:id="rId5" display="Roundtop"/>
  </hyperlinks>
  <printOptions/>
  <pageMargins left="0.75" right="0.75" top="1" bottom="1" header="0.5" footer="0.5"/>
  <pageSetup horizontalDpi="720" verticalDpi="720" orientation="landscape" r:id="rId9"/>
  <headerFooter alignWithMargins="0">
    <oddHeader>&amp;C&amp;"Arial,Bold"&amp;20Advantage Card Savings Calculator</oddHeader>
  </headerFooter>
  <ignoredErrors>
    <ignoredError sqref="D19 D30 D41 D52 D63 D74 D85 D123 D134 D145 D156 D167 D178 D189 D217 D228 D239 D250 D261 D272 D283 F16 F52 D200 D96 D107 E55 E66 J52 J156 E77 E88 E192 E181 E253 E264 J250 E275 E286 E170 E159" formula="1"/>
  </ignoredErrors>
  <drawing r:id="rId8"/>
  <legacyDrawing r:id="rId7"/>
</worksheet>
</file>

<file path=xl/worksheets/sheet10.xml><?xml version="1.0" encoding="utf-8"?>
<worksheet xmlns="http://schemas.openxmlformats.org/spreadsheetml/2006/main" xmlns:r="http://schemas.openxmlformats.org/officeDocument/2006/relationships">
  <sheetPr codeName="Sheet12"/>
  <dimension ref="A1:M15"/>
  <sheetViews>
    <sheetView workbookViewId="0" topLeftCell="A1">
      <selection activeCell="A16" sqref="A16"/>
    </sheetView>
  </sheetViews>
  <sheetFormatPr defaultColWidth="9.140625" defaultRowHeight="12.75"/>
  <sheetData>
    <row r="1" spans="1:13" ht="102.75" customHeight="1">
      <c r="A1" s="95" t="s">
        <v>159</v>
      </c>
      <c r="B1" s="96"/>
      <c r="C1" s="96"/>
      <c r="D1" s="96"/>
      <c r="E1" s="96"/>
      <c r="F1" s="96"/>
      <c r="G1" s="96"/>
      <c r="H1" s="96"/>
      <c r="I1" s="96"/>
      <c r="J1" s="96"/>
      <c r="K1" s="96"/>
      <c r="L1" s="96"/>
      <c r="M1" s="96"/>
    </row>
    <row r="4" ht="12.75">
      <c r="A4" t="s">
        <v>202</v>
      </c>
    </row>
    <row r="5" spans="1:13" ht="24" customHeight="1">
      <c r="A5" s="95" t="s">
        <v>204</v>
      </c>
      <c r="B5" s="96"/>
      <c r="C5" s="96"/>
      <c r="D5" s="96"/>
      <c r="E5" s="96"/>
      <c r="F5" s="96"/>
      <c r="G5" s="96"/>
      <c r="H5" s="96"/>
      <c r="I5" s="96"/>
      <c r="J5" s="96"/>
      <c r="K5" s="96"/>
      <c r="L5" s="96"/>
      <c r="M5" s="96"/>
    </row>
    <row r="6" ht="12.75">
      <c r="A6" t="s">
        <v>203</v>
      </c>
    </row>
    <row r="7" ht="12.75">
      <c r="A7" t="s">
        <v>205</v>
      </c>
    </row>
    <row r="8" ht="12.75">
      <c r="A8" t="s">
        <v>206</v>
      </c>
    </row>
    <row r="9" ht="12.75">
      <c r="A9" t="s">
        <v>207</v>
      </c>
    </row>
    <row r="10" ht="12.75">
      <c r="A10" t="s">
        <v>208</v>
      </c>
    </row>
    <row r="11" ht="12.75">
      <c r="A11" t="s">
        <v>210</v>
      </c>
    </row>
    <row r="13" ht="12.75">
      <c r="A13" t="s">
        <v>262</v>
      </c>
    </row>
    <row r="14" ht="12.75">
      <c r="A14" t="s">
        <v>263</v>
      </c>
    </row>
    <row r="15" ht="12.75">
      <c r="A15" t="s">
        <v>264</v>
      </c>
    </row>
  </sheetData>
  <mergeCells count="2">
    <mergeCell ref="A1:M1"/>
    <mergeCell ref="A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K42"/>
  <sheetViews>
    <sheetView workbookViewId="0" topLeftCell="A10">
      <selection activeCell="A1" sqref="A1:J1"/>
    </sheetView>
  </sheetViews>
  <sheetFormatPr defaultColWidth="9.140625" defaultRowHeight="12.75"/>
  <cols>
    <col min="2" max="2" width="9.140625" style="19" customWidth="1"/>
    <col min="3" max="3" width="31.421875" style="0" customWidth="1"/>
    <col min="6" max="6" width="9.140625" style="19" customWidth="1"/>
    <col min="7" max="7" width="18.00390625" style="0" customWidth="1"/>
    <col min="9" max="9" width="9.140625" style="19" customWidth="1"/>
    <col min="10" max="10" width="16.421875" style="0" customWidth="1"/>
    <col min="11" max="11" width="0" style="0" hidden="1" customWidth="1"/>
  </cols>
  <sheetData>
    <row r="1" spans="1:10" ht="37.5" customHeight="1">
      <c r="A1" s="88" t="s">
        <v>192</v>
      </c>
      <c r="B1" s="89"/>
      <c r="C1" s="89"/>
      <c r="D1" s="89"/>
      <c r="E1" s="89"/>
      <c r="F1" s="89"/>
      <c r="G1" s="89"/>
      <c r="H1" s="89"/>
      <c r="I1" s="89"/>
      <c r="J1" s="89"/>
    </row>
    <row r="2" ht="33" customHeight="1">
      <c r="B2" s="19" t="b">
        <v>1</v>
      </c>
    </row>
    <row r="3" spans="2:10" ht="33" customHeight="1">
      <c r="B3" s="19" t="b">
        <v>1</v>
      </c>
      <c r="J3" s="48">
        <v>55</v>
      </c>
    </row>
    <row r="4" spans="1:10" ht="12.75">
      <c r="A4" t="s">
        <v>48</v>
      </c>
      <c r="D4" t="s">
        <v>49</v>
      </c>
      <c r="H4" t="s">
        <v>49</v>
      </c>
      <c r="J4" t="s">
        <v>82</v>
      </c>
    </row>
    <row r="5" spans="1:9" ht="28.5" customHeight="1">
      <c r="A5">
        <f>IF(B5,D5+(IF(F5,H5,0)+IF($B$3,-5,0)+IF($B$2,-35,0))+IF(I5,$J$3,0),0)</f>
        <v>0</v>
      </c>
      <c r="B5" s="19" t="b">
        <v>0</v>
      </c>
      <c r="D5" s="14">
        <v>119</v>
      </c>
      <c r="H5" s="14">
        <v>49</v>
      </c>
      <c r="I5" s="19" t="b">
        <v>0</v>
      </c>
    </row>
    <row r="6" spans="1:9" ht="28.5" customHeight="1">
      <c r="A6">
        <f>IF(B6,D6+(F6*H6)+IF($B$3,-5,0)+IF($B$2,-50,0)+IF(I6,$J$3,0),0)</f>
        <v>0</v>
      </c>
      <c r="B6" s="19" t="b">
        <v>0</v>
      </c>
      <c r="D6" s="14">
        <v>199</v>
      </c>
      <c r="F6" s="20"/>
      <c r="G6" t="s">
        <v>62</v>
      </c>
      <c r="H6" s="14">
        <v>49</v>
      </c>
      <c r="I6" s="19" t="b">
        <v>0</v>
      </c>
    </row>
    <row r="7" spans="1:4" ht="28.5" customHeight="1">
      <c r="A7">
        <f>IF(B7,D7,0)</f>
        <v>0</v>
      </c>
      <c r="B7" s="19" t="b">
        <v>0</v>
      </c>
      <c r="D7" s="14">
        <v>45</v>
      </c>
    </row>
    <row r="8" spans="1:4" ht="28.5" customHeight="1">
      <c r="A8">
        <f>IF(B8,D8,0)</f>
        <v>0</v>
      </c>
      <c r="B8" s="19" t="b">
        <v>0</v>
      </c>
      <c r="D8" s="14">
        <v>45</v>
      </c>
    </row>
    <row r="9" spans="1:11" ht="28.5" customHeight="1">
      <c r="A9" s="14">
        <f>IF(B9,D9+(IF(F9,H9,0)+IF($B$3,0,0)+IF($B$2,-200,0)+IF(I9,$J$3,0)),0)</f>
        <v>0</v>
      </c>
      <c r="B9" s="19" t="b">
        <v>0</v>
      </c>
      <c r="D9" s="14">
        <v>599</v>
      </c>
      <c r="H9" s="14">
        <v>25</v>
      </c>
      <c r="I9" s="19" t="b">
        <v>0</v>
      </c>
      <c r="K9" t="b">
        <v>0</v>
      </c>
    </row>
    <row r="10" spans="1:11" ht="28.5" customHeight="1">
      <c r="A10" s="14">
        <f>IF(B10,D10+(IF(F10,H10,0)+IF($B$3,0,0)+IF($B$2,-200,0)+IF(I10,$J$3,0)),0)</f>
        <v>0</v>
      </c>
      <c r="B10" s="19" t="b">
        <v>0</v>
      </c>
      <c r="D10" s="14">
        <v>599</v>
      </c>
      <c r="H10" s="14">
        <v>25</v>
      </c>
      <c r="I10" s="19" t="b">
        <v>0</v>
      </c>
      <c r="K10" t="b">
        <v>0</v>
      </c>
    </row>
    <row r="11" spans="1:11" ht="28.5" customHeight="1">
      <c r="A11" s="14">
        <f>IF(B11,D11+(IF(F11,H11,0)+IF($B$3,0,0)+IF($B$2,-200,0)+IF(I11,$J$3,0)),0)</f>
        <v>0</v>
      </c>
      <c r="B11" s="19" t="b">
        <v>0</v>
      </c>
      <c r="D11" s="14">
        <v>599</v>
      </c>
      <c r="H11" s="14">
        <v>25</v>
      </c>
      <c r="I11" s="19" t="b">
        <v>0</v>
      </c>
      <c r="K11" t="b">
        <v>0</v>
      </c>
    </row>
    <row r="12" spans="1:11" ht="28.5" customHeight="1">
      <c r="A12" s="14">
        <f>IF(B12,D12+(IF(F12,H12,0)+IF($B$3,0,0)+IF($B$2,-200,0)+IF(I12,$J$3,0)),0)</f>
        <v>0</v>
      </c>
      <c r="B12" s="19" t="b">
        <v>0</v>
      </c>
      <c r="D12" s="14">
        <v>499</v>
      </c>
      <c r="H12" s="14">
        <v>25</v>
      </c>
      <c r="I12" s="19" t="b">
        <v>0</v>
      </c>
      <c r="K12" t="b">
        <v>0</v>
      </c>
    </row>
    <row r="13" spans="1:11" ht="28.5" customHeight="1">
      <c r="A13" s="14">
        <f>IF(B13,D13+(IF(F13,H13,0)+IF($B$3,0,0)+IF($B$2,-100,0)+IF(I13,$J$3,0)),0)</f>
        <v>0</v>
      </c>
      <c r="B13" s="19" t="b">
        <v>0</v>
      </c>
      <c r="D13" s="14">
        <v>299</v>
      </c>
      <c r="H13" s="14">
        <v>25</v>
      </c>
      <c r="I13" s="19" t="b">
        <v>0</v>
      </c>
      <c r="K13" t="b">
        <v>0</v>
      </c>
    </row>
    <row r="14" spans="1:11" ht="28.5" customHeight="1">
      <c r="A14" s="14">
        <f>IF(B14,D14+(IF(F14,H14,0)+IF($B$3,0,0)+IF($B$2,-100,0)+IF(I14,$J$3,0)),0)</f>
        <v>0</v>
      </c>
      <c r="B14" s="19" t="b">
        <v>0</v>
      </c>
      <c r="D14" s="14">
        <v>359</v>
      </c>
      <c r="H14" s="14">
        <v>25</v>
      </c>
      <c r="I14" s="19" t="b">
        <v>0</v>
      </c>
      <c r="K14" t="b">
        <v>0</v>
      </c>
    </row>
    <row r="15" spans="1:11" ht="28.5" customHeight="1">
      <c r="A15" s="14">
        <f>IF(B15,D15+(IF(F15,H15,0)+IF($B$3,0,0)+IF($B$2,-100,0)+IF(I15,40,0)),0)</f>
        <v>0</v>
      </c>
      <c r="B15" s="19" t="b">
        <v>0</v>
      </c>
      <c r="D15" s="14">
        <v>359</v>
      </c>
      <c r="H15" s="14">
        <v>25</v>
      </c>
      <c r="I15" s="19" t="b">
        <v>0</v>
      </c>
      <c r="K15" t="b">
        <v>0</v>
      </c>
    </row>
    <row r="16" spans="1:11" ht="28.5" customHeight="1">
      <c r="A16" s="14">
        <f>IF(B16,D16+(IF(F16,H16,0)+IF($B$2,-200,0)+IF(I16,$J$3,0)),0)</f>
        <v>0</v>
      </c>
      <c r="B16" s="19" t="b">
        <v>0</v>
      </c>
      <c r="D16" s="14">
        <v>499</v>
      </c>
      <c r="H16" s="14">
        <v>25</v>
      </c>
      <c r="I16" s="19" t="b">
        <v>0</v>
      </c>
      <c r="K16" t="b">
        <v>0</v>
      </c>
    </row>
    <row r="17" spans="1:11" ht="28.5" customHeight="1">
      <c r="A17" s="14">
        <f>IF(B17,D17+(IF(F17,H17,0)+IF($B$2,-200,0)+IF(I17,40,0)),0)</f>
        <v>0</v>
      </c>
      <c r="B17" s="19" t="b">
        <v>0</v>
      </c>
      <c r="D17" s="14">
        <v>499</v>
      </c>
      <c r="H17" s="14">
        <v>25</v>
      </c>
      <c r="I17" s="19" t="b">
        <v>0</v>
      </c>
      <c r="K17" t="b">
        <v>0</v>
      </c>
    </row>
    <row r="18" spans="1:11" ht="28.5" customHeight="1">
      <c r="A18" s="14">
        <f>IF(B18,D18+(IF(F18,H18,0)+IF($B$2,-200,0)+IF(I18,$J$3,0)),0)</f>
        <v>0</v>
      </c>
      <c r="B18" s="19" t="b">
        <v>0</v>
      </c>
      <c r="D18" s="14">
        <v>499</v>
      </c>
      <c r="H18" s="14">
        <v>25</v>
      </c>
      <c r="I18" s="19" t="b">
        <v>0</v>
      </c>
      <c r="K18" t="b">
        <v>0</v>
      </c>
    </row>
    <row r="19" spans="1:11" ht="28.5" customHeight="1">
      <c r="A19" s="14">
        <f>IF(B19,D19+(IF(F19,H19,0)+IF($B$2,-200,0)+IF(I19,40,0)),0)</f>
        <v>0</v>
      </c>
      <c r="B19" s="19" t="b">
        <v>0</v>
      </c>
      <c r="D19" s="14">
        <v>499</v>
      </c>
      <c r="H19" s="14">
        <v>25</v>
      </c>
      <c r="I19" s="19" t="b">
        <v>0</v>
      </c>
      <c r="K19" t="b">
        <v>0</v>
      </c>
    </row>
    <row r="20" spans="1:11" ht="28.5" customHeight="1">
      <c r="A20" s="14">
        <f>IF(B20,D20+(IF(F20,H20,0)+IF($B$2,-200,0)+IF(I20,$J$3,0)),0)</f>
        <v>0</v>
      </c>
      <c r="B20" s="19" t="b">
        <v>0</v>
      </c>
      <c r="D20" s="14">
        <v>499</v>
      </c>
      <c r="H20" s="14">
        <v>25</v>
      </c>
      <c r="I20" s="19" t="b">
        <v>0</v>
      </c>
      <c r="K20" t="b">
        <v>0</v>
      </c>
    </row>
    <row r="21" spans="1:11" ht="28.5" customHeight="1">
      <c r="A21" s="14">
        <f>IF(B21,D21+(IF(F21,H21,0)+IF($B$2,-200,0)+IF(I21,$J$3,0)),0)</f>
        <v>0</v>
      </c>
      <c r="B21" s="19" t="b">
        <v>0</v>
      </c>
      <c r="D21" s="14">
        <v>499</v>
      </c>
      <c r="H21" s="14">
        <v>25</v>
      </c>
      <c r="I21" s="19" t="b">
        <v>0</v>
      </c>
      <c r="K21" t="b">
        <v>0</v>
      </c>
    </row>
    <row r="22" spans="1:11" ht="28.5" customHeight="1">
      <c r="A22" s="14">
        <f>IF(B22,D22+(IF(F22,H22,0)+IF($B$2,-200,0)+IF(I22,$J$3,0)),0)</f>
        <v>0</v>
      </c>
      <c r="B22" s="19" t="b">
        <v>0</v>
      </c>
      <c r="D22" s="14">
        <v>499</v>
      </c>
      <c r="H22" s="14">
        <v>25</v>
      </c>
      <c r="I22" s="19" t="b">
        <v>0</v>
      </c>
      <c r="K22" t="b">
        <v>0</v>
      </c>
    </row>
    <row r="23" spans="1:11" ht="28.5" customHeight="1">
      <c r="A23">
        <f>IF(B23,D23+(IF(F23,(20),0)+IF($B$2,-25,0)),0)</f>
        <v>0</v>
      </c>
      <c r="B23" s="19" t="b">
        <v>0</v>
      </c>
      <c r="D23" s="14">
        <v>194</v>
      </c>
      <c r="H23" s="12"/>
      <c r="I23" s="19" t="b">
        <v>0</v>
      </c>
      <c r="K23" t="b">
        <v>0</v>
      </c>
    </row>
    <row r="24" spans="1:11" ht="28.5" customHeight="1">
      <c r="A24">
        <f>IF(B24,D24+(IF(F24,(20),0)+IF($B$2,-25,0)),0)</f>
        <v>0</v>
      </c>
      <c r="B24" s="19" t="b">
        <v>0</v>
      </c>
      <c r="D24" s="14">
        <v>239</v>
      </c>
      <c r="H24" s="12"/>
      <c r="I24" s="19" t="b">
        <v>0</v>
      </c>
      <c r="K24" t="b">
        <v>0</v>
      </c>
    </row>
    <row r="25" spans="1:11" ht="28.5" customHeight="1">
      <c r="A25">
        <f>IF(B25,D25+(IF(F25,(20),0)+IF($B$2,-25,0)),0)</f>
        <v>0</v>
      </c>
      <c r="B25" s="19" t="b">
        <v>0</v>
      </c>
      <c r="D25" s="14">
        <v>274</v>
      </c>
      <c r="H25" s="12"/>
      <c r="I25" s="19" t="b">
        <v>0</v>
      </c>
      <c r="K25" t="b">
        <v>0</v>
      </c>
    </row>
    <row r="26" spans="1:11" ht="28.5" customHeight="1">
      <c r="A26">
        <f>IF(B26,D26+(IF(F26,(20),0)+IF($B$2,-25,0)),0)</f>
        <v>0</v>
      </c>
      <c r="B26" s="19" t="b">
        <v>0</v>
      </c>
      <c r="D26" s="14">
        <v>274</v>
      </c>
      <c r="H26" s="12"/>
      <c r="I26" s="19" t="b">
        <v>0</v>
      </c>
      <c r="K26" t="b">
        <v>0</v>
      </c>
    </row>
    <row r="28" spans="1:2" ht="12.75">
      <c r="A28">
        <f>SUM(A5:A27)</f>
        <v>0</v>
      </c>
      <c r="B28" s="30" t="s">
        <v>81</v>
      </c>
    </row>
    <row r="29" ht="12.75">
      <c r="B29" s="19" t="b">
        <v>1</v>
      </c>
    </row>
    <row r="30" ht="12.75"/>
    <row r="31" ht="12.75"/>
    <row r="33" ht="12.75">
      <c r="C33" t="s">
        <v>79</v>
      </c>
    </row>
    <row r="34" ht="12.75">
      <c r="C34" t="s">
        <v>170</v>
      </c>
    </row>
    <row r="35" ht="12.75">
      <c r="C35" t="s">
        <v>76</v>
      </c>
    </row>
    <row r="36" ht="12.75">
      <c r="C36" t="s">
        <v>80</v>
      </c>
    </row>
    <row r="37" ht="12.75">
      <c r="C37" t="s">
        <v>143</v>
      </c>
    </row>
    <row r="39" spans="2:3" ht="12.75">
      <c r="B39" s="19" t="b">
        <f>OR(B5,B6,B7,B8,F23,F24,F25,F26)</f>
        <v>0</v>
      </c>
      <c r="C39" t="s">
        <v>126</v>
      </c>
    </row>
    <row r="40" spans="2:3" ht="12.75">
      <c r="B40" s="19" t="b">
        <f>OR(B9,B10,B11,B12,B13,B14,B15,B16,B18,B19,B20,B21,B22)</f>
        <v>0</v>
      </c>
      <c r="C40" t="s">
        <v>127</v>
      </c>
    </row>
    <row r="41" spans="2:3" ht="12.75">
      <c r="B41" s="19" t="b">
        <f>OR(B23,B24,B25,B26)</f>
        <v>0</v>
      </c>
      <c r="C41" t="s">
        <v>151</v>
      </c>
    </row>
    <row r="42" ht="12.75">
      <c r="B42" s="19" t="b">
        <f>OR(K9,K10,K11,K12,K13,K14,K15,K16,K17,K18,K19,K20,K21,K22)</f>
        <v>0</v>
      </c>
    </row>
  </sheetData>
  <mergeCells count="1">
    <mergeCell ref="A1:J1"/>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0"/>
  <dimension ref="A1:M31"/>
  <sheetViews>
    <sheetView workbookViewId="0" topLeftCell="A4">
      <selection activeCell="L24" sqref="L24"/>
    </sheetView>
  </sheetViews>
  <sheetFormatPr defaultColWidth="9.140625" defaultRowHeight="12.75"/>
  <cols>
    <col min="1" max="1" width="21.00390625" style="0" customWidth="1"/>
    <col min="2" max="2" width="8.28125" style="0" customWidth="1"/>
    <col min="3" max="3" width="8.8515625" style="0" customWidth="1"/>
    <col min="6" max="6" width="7.8515625" style="0" customWidth="1"/>
  </cols>
  <sheetData>
    <row r="1" spans="1:13" ht="27.75" customHeight="1">
      <c r="A1" s="90" t="s">
        <v>196</v>
      </c>
      <c r="B1" s="90"/>
      <c r="C1" s="90"/>
      <c r="D1" s="90"/>
      <c r="E1" s="90"/>
      <c r="F1" s="90"/>
      <c r="G1" s="90"/>
      <c r="H1" s="90"/>
      <c r="I1" s="90"/>
      <c r="J1" s="90"/>
      <c r="K1" s="90"/>
      <c r="L1" s="90"/>
      <c r="M1" s="90"/>
    </row>
    <row r="3" spans="2:4" ht="24" customHeight="1">
      <c r="B3" t="s">
        <v>178</v>
      </c>
      <c r="C3" s="1" t="s">
        <v>179</v>
      </c>
      <c r="D3" t="s">
        <v>193</v>
      </c>
    </row>
    <row r="4" spans="1:12" ht="12.75">
      <c r="A4" t="s">
        <v>145</v>
      </c>
      <c r="L4" t="s">
        <v>180</v>
      </c>
    </row>
    <row r="5" spans="1:12" ht="12.75">
      <c r="A5" t="s">
        <v>160</v>
      </c>
      <c r="B5">
        <v>5</v>
      </c>
      <c r="C5">
        <f>0.6*B5</f>
        <v>3</v>
      </c>
      <c r="D5" s="26"/>
      <c r="L5">
        <f>(B5-C5)*D5</f>
        <v>0</v>
      </c>
    </row>
    <row r="6" spans="1:12" ht="12.75">
      <c r="A6" t="s">
        <v>161</v>
      </c>
      <c r="B6">
        <v>1</v>
      </c>
      <c r="C6">
        <f>0.6*B6</f>
        <v>0.6</v>
      </c>
      <c r="D6" s="26"/>
      <c r="L6">
        <f>(B6-C6)*D6</f>
        <v>0</v>
      </c>
    </row>
    <row r="7" spans="1:12" ht="12.75">
      <c r="A7" t="s">
        <v>162</v>
      </c>
      <c r="B7">
        <v>10</v>
      </c>
      <c r="C7">
        <f>0.6*B7</f>
        <v>6</v>
      </c>
      <c r="D7" s="26"/>
      <c r="L7">
        <f>(B7-C7)*D7</f>
        <v>0</v>
      </c>
    </row>
    <row r="8" spans="1:12" ht="12.75">
      <c r="A8" t="s">
        <v>163</v>
      </c>
      <c r="B8">
        <v>80</v>
      </c>
      <c r="C8">
        <f>0.6*B8</f>
        <v>48</v>
      </c>
      <c r="D8" s="26"/>
      <c r="L8">
        <f>(B8-C8)*D8</f>
        <v>0</v>
      </c>
    </row>
    <row r="11" spans="1:8" ht="12.75">
      <c r="A11" t="s">
        <v>146</v>
      </c>
      <c r="B11" t="s">
        <v>97</v>
      </c>
      <c r="E11" t="s">
        <v>98</v>
      </c>
      <c r="H11" t="s">
        <v>243</v>
      </c>
    </row>
    <row r="12" spans="2:10" ht="25.5" customHeight="1">
      <c r="B12" t="s">
        <v>178</v>
      </c>
      <c r="C12" s="1" t="s">
        <v>179</v>
      </c>
      <c r="D12" t="s">
        <v>2</v>
      </c>
      <c r="E12" t="s">
        <v>178</v>
      </c>
      <c r="F12" s="1" t="s">
        <v>179</v>
      </c>
      <c r="G12" t="s">
        <v>2</v>
      </c>
      <c r="H12" t="s">
        <v>178</v>
      </c>
      <c r="I12" s="1" t="s">
        <v>179</v>
      </c>
      <c r="J12" t="s">
        <v>2</v>
      </c>
    </row>
    <row r="13" spans="1:12" ht="12.75">
      <c r="A13" t="s">
        <v>1</v>
      </c>
      <c r="B13" s="44">
        <v>69</v>
      </c>
      <c r="C13" s="44">
        <f>B13-30</f>
        <v>39</v>
      </c>
      <c r="D13" s="26"/>
      <c r="E13" s="44">
        <v>78</v>
      </c>
      <c r="F13" s="44">
        <f>E13-20</f>
        <v>58</v>
      </c>
      <c r="G13" s="26"/>
      <c r="H13" s="44">
        <v>78</v>
      </c>
      <c r="I13" s="44">
        <f>H13-10</f>
        <v>68</v>
      </c>
      <c r="J13" s="26"/>
      <c r="L13">
        <f>((B13-C13)*D13)+((E5-F5)*G5)+((H5-I5)*J5)</f>
        <v>0</v>
      </c>
    </row>
    <row r="14" spans="1:12" ht="12.75">
      <c r="A14" t="s">
        <v>242</v>
      </c>
      <c r="B14" s="44">
        <v>60</v>
      </c>
      <c r="C14" s="44">
        <f>B14-30</f>
        <v>30</v>
      </c>
      <c r="D14" s="26"/>
      <c r="E14" s="44">
        <v>66</v>
      </c>
      <c r="F14" s="44">
        <f>E14-20</f>
        <v>46</v>
      </c>
      <c r="G14" s="26"/>
      <c r="H14" s="44">
        <v>66</v>
      </c>
      <c r="I14" s="44">
        <f>H14-10</f>
        <v>56</v>
      </c>
      <c r="J14" s="26"/>
      <c r="L14">
        <f>((B14-C14)*D14)+((E6-F6)*G6)+((H6-I6)*J6)</f>
        <v>0</v>
      </c>
    </row>
    <row r="15" spans="1:12" ht="12.75">
      <c r="A15" t="s">
        <v>244</v>
      </c>
      <c r="B15" s="44">
        <v>54</v>
      </c>
      <c r="C15" s="44">
        <f>B15-30</f>
        <v>24</v>
      </c>
      <c r="D15" s="26"/>
      <c r="E15" s="44">
        <v>55</v>
      </c>
      <c r="F15" s="44">
        <f>E15-20</f>
        <v>35</v>
      </c>
      <c r="G15" s="26"/>
      <c r="H15" s="44">
        <v>55</v>
      </c>
      <c r="I15" s="44">
        <f>H15-10</f>
        <v>45</v>
      </c>
      <c r="J15" s="26"/>
      <c r="L15">
        <f>((B15-C15)*D15)+((E7-F7)*G7)+((H7-I7)*J7)</f>
        <v>0</v>
      </c>
    </row>
    <row r="16" spans="1:12" ht="12.75">
      <c r="A16" t="s">
        <v>46</v>
      </c>
      <c r="B16" s="44">
        <v>60</v>
      </c>
      <c r="C16" s="44">
        <f>B16-30</f>
        <v>30</v>
      </c>
      <c r="D16" s="26"/>
      <c r="E16" s="44">
        <v>66</v>
      </c>
      <c r="F16" s="44">
        <f>E16-20</f>
        <v>46</v>
      </c>
      <c r="G16" s="26"/>
      <c r="H16" s="44">
        <v>66</v>
      </c>
      <c r="I16" s="44">
        <f>H16-10</f>
        <v>56</v>
      </c>
      <c r="J16" s="26"/>
      <c r="L16">
        <f>((B16-C16)*D16)+((E8-F8)*G8)+((H8-I8)*J8)</f>
        <v>0</v>
      </c>
    </row>
    <row r="18" spans="1:4" ht="12.75">
      <c r="A18" t="s">
        <v>177</v>
      </c>
      <c r="D18" t="s">
        <v>194</v>
      </c>
    </row>
    <row r="19" spans="1:12" ht="12.75">
      <c r="A19" t="s">
        <v>174</v>
      </c>
      <c r="B19">
        <v>104</v>
      </c>
      <c r="C19">
        <f>0.6*B19</f>
        <v>62.4</v>
      </c>
      <c r="D19" s="26"/>
      <c r="L19">
        <f>(B19-C19)*D19</f>
        <v>0</v>
      </c>
    </row>
    <row r="20" spans="1:12" ht="12.75">
      <c r="A20" t="s">
        <v>175</v>
      </c>
      <c r="B20">
        <v>114</v>
      </c>
      <c r="C20">
        <f>0.6*B20</f>
        <v>68.39999999999999</v>
      </c>
      <c r="D20" s="26"/>
      <c r="L20">
        <f>(B20-C20)*D20</f>
        <v>0</v>
      </c>
    </row>
    <row r="21" spans="1:12" ht="12.75">
      <c r="A21" t="s">
        <v>176</v>
      </c>
      <c r="B21">
        <v>174</v>
      </c>
      <c r="C21">
        <f>0.6*B21</f>
        <v>104.39999999999999</v>
      </c>
      <c r="D21" s="26"/>
      <c r="L21">
        <f>(B21-C21)*D21</f>
        <v>0</v>
      </c>
    </row>
    <row r="23" spans="1:4" ht="12.75">
      <c r="A23" t="s">
        <v>181</v>
      </c>
      <c r="D23" t="s">
        <v>195</v>
      </c>
    </row>
    <row r="24" spans="1:12" ht="12.75">
      <c r="A24" s="33" t="s">
        <v>197</v>
      </c>
      <c r="B24" s="52"/>
      <c r="C24" s="53"/>
      <c r="D24" s="26"/>
      <c r="L24">
        <f>(B24-C24)*D24</f>
        <v>0</v>
      </c>
    </row>
    <row r="25" spans="1:12" ht="12.75">
      <c r="A25" s="33" t="s">
        <v>198</v>
      </c>
      <c r="B25" s="52"/>
      <c r="C25" s="53"/>
      <c r="D25" s="26"/>
      <c r="L25">
        <f>(B25-C25)*D25</f>
        <v>0</v>
      </c>
    </row>
    <row r="26" spans="1:12" ht="12.75">
      <c r="A26" s="33" t="s">
        <v>108</v>
      </c>
      <c r="B26" s="52"/>
      <c r="C26" s="53"/>
      <c r="D26" s="26"/>
      <c r="L26">
        <f>(B26-C26)*D26</f>
        <v>0</v>
      </c>
    </row>
    <row r="31" spans="12:13" ht="12.75">
      <c r="L31">
        <f>SUM(L5:L30)</f>
        <v>0</v>
      </c>
      <c r="M31" t="s">
        <v>186</v>
      </c>
    </row>
  </sheetData>
  <mergeCells count="1">
    <mergeCell ref="A1:M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1:L58"/>
  <sheetViews>
    <sheetView tabSelected="1" workbookViewId="0" topLeftCell="A13">
      <selection activeCell="C56" sqref="C56"/>
    </sheetView>
  </sheetViews>
  <sheetFormatPr defaultColWidth="9.140625" defaultRowHeight="12.75"/>
  <cols>
    <col min="1" max="1" width="42.140625" style="0" customWidth="1"/>
    <col min="2" max="2" width="8.8515625" style="0" customWidth="1"/>
    <col min="3" max="3" width="11.421875" style="75" customWidth="1"/>
    <col min="4" max="4" width="9.28125" style="0" customWidth="1"/>
    <col min="5" max="5" width="9.140625" style="75" customWidth="1"/>
    <col min="6" max="6" width="12.140625" style="75" customWidth="1"/>
    <col min="7" max="7" width="9.140625" style="34" customWidth="1"/>
    <col min="8" max="8" width="9.140625" style="75" customWidth="1"/>
    <col min="9" max="9" width="11.7109375" style="75" customWidth="1"/>
  </cols>
  <sheetData>
    <row r="1" spans="1:10" ht="18">
      <c r="A1" s="90" t="s">
        <v>196</v>
      </c>
      <c r="B1" s="90"/>
      <c r="C1" s="90"/>
      <c r="D1" s="90"/>
      <c r="E1" s="90"/>
      <c r="F1" s="90"/>
      <c r="G1" s="90"/>
      <c r="H1" s="90"/>
      <c r="I1" s="90"/>
      <c r="J1" s="90"/>
    </row>
    <row r="2" spans="2:11" ht="12.75">
      <c r="B2" s="50" t="s">
        <v>1</v>
      </c>
      <c r="E2" s="73" t="s">
        <v>46</v>
      </c>
      <c r="H2" s="73" t="s">
        <v>122</v>
      </c>
      <c r="K2" t="s">
        <v>0</v>
      </c>
    </row>
    <row r="3" spans="1:10" s="32" customFormat="1" ht="24.75" customHeight="1">
      <c r="A3" s="32" t="s">
        <v>103</v>
      </c>
      <c r="B3" s="32" t="s">
        <v>49</v>
      </c>
      <c r="C3" s="74" t="s">
        <v>104</v>
      </c>
      <c r="D3" s="32" t="s">
        <v>105</v>
      </c>
      <c r="E3" s="74" t="s">
        <v>49</v>
      </c>
      <c r="F3" s="74" t="s">
        <v>104</v>
      </c>
      <c r="G3" s="35" t="s">
        <v>105</v>
      </c>
      <c r="H3" s="74" t="s">
        <v>49</v>
      </c>
      <c r="I3" s="74" t="s">
        <v>104</v>
      </c>
      <c r="J3" s="32" t="s">
        <v>105</v>
      </c>
    </row>
    <row r="4" ht="12.75">
      <c r="A4" s="51" t="s">
        <v>248</v>
      </c>
    </row>
    <row r="5" ht="12.75">
      <c r="A5" t="s">
        <v>101</v>
      </c>
    </row>
    <row r="6" ht="12.75">
      <c r="A6" t="s">
        <v>113</v>
      </c>
    </row>
    <row r="7" spans="1:11" ht="12.75">
      <c r="A7" s="71" t="s">
        <v>249</v>
      </c>
      <c r="B7">
        <v>53</v>
      </c>
      <c r="C7" s="75">
        <f>B7-10</f>
        <v>43</v>
      </c>
      <c r="D7" s="26"/>
      <c r="E7" s="75">
        <v>43</v>
      </c>
      <c r="F7" s="75">
        <f>E7-10</f>
        <v>33</v>
      </c>
      <c r="G7" s="78"/>
      <c r="H7" s="75">
        <v>43</v>
      </c>
      <c r="I7" s="75">
        <f>H7-10</f>
        <v>33</v>
      </c>
      <c r="J7" s="26"/>
      <c r="K7">
        <f>(D7*(B7-C7))+(G7*(E7-F7))+(J7*(H7-I7))</f>
        <v>0</v>
      </c>
    </row>
    <row r="8" spans="1:11" ht="12.75">
      <c r="A8" s="72" t="s">
        <v>111</v>
      </c>
      <c r="B8">
        <v>53</v>
      </c>
      <c r="C8" s="75">
        <f>B8*0.5</f>
        <v>26.5</v>
      </c>
      <c r="D8" s="26"/>
      <c r="E8" s="75">
        <v>43</v>
      </c>
      <c r="F8" s="75">
        <f>E8*0.5</f>
        <v>21.5</v>
      </c>
      <c r="G8" s="78"/>
      <c r="H8" s="75">
        <v>43</v>
      </c>
      <c r="I8" s="75">
        <f>H8*0.5</f>
        <v>21.5</v>
      </c>
      <c r="J8" s="26"/>
      <c r="K8">
        <f aca="true" t="shared" si="0" ref="K8:K34">(D8*(B8-C8))+(G8*(E8-F8))+(J8*(H8-I8))</f>
        <v>0</v>
      </c>
    </row>
    <row r="9" spans="1:11" ht="12.75">
      <c r="A9" s="84" t="s">
        <v>234</v>
      </c>
      <c r="B9">
        <v>82</v>
      </c>
      <c r="C9" s="75">
        <f>0.75*B9</f>
        <v>61.5</v>
      </c>
      <c r="D9" s="26"/>
      <c r="E9" s="75">
        <v>61.5</v>
      </c>
      <c r="F9" s="75">
        <f>0.75*E9</f>
        <v>46.125</v>
      </c>
      <c r="G9" s="78"/>
      <c r="H9" s="75">
        <v>74</v>
      </c>
      <c r="I9" s="75">
        <f>0.75*H9</f>
        <v>55.5</v>
      </c>
      <c r="J9" s="26"/>
      <c r="K9">
        <f t="shared" si="0"/>
        <v>0</v>
      </c>
    </row>
    <row r="10" spans="1:11" ht="12.75">
      <c r="A10" s="71" t="s">
        <v>237</v>
      </c>
      <c r="B10">
        <v>45</v>
      </c>
      <c r="C10" s="75">
        <f>B10-10</f>
        <v>35</v>
      </c>
      <c r="D10" s="26"/>
      <c r="E10" s="75">
        <v>45</v>
      </c>
      <c r="F10" s="75">
        <f>E10-10</f>
        <v>35</v>
      </c>
      <c r="G10" s="78"/>
      <c r="H10" s="75">
        <v>35</v>
      </c>
      <c r="I10" s="75">
        <f>H10-10</f>
        <v>25</v>
      </c>
      <c r="J10" s="26"/>
      <c r="K10">
        <f t="shared" si="0"/>
        <v>0</v>
      </c>
    </row>
    <row r="11" spans="1:11" ht="12.75">
      <c r="A11" s="72" t="s">
        <v>238</v>
      </c>
      <c r="B11">
        <v>45</v>
      </c>
      <c r="C11" s="75">
        <f>B11*0.5</f>
        <v>22.5</v>
      </c>
      <c r="D11" s="26"/>
      <c r="E11" s="75">
        <v>45</v>
      </c>
      <c r="F11" s="75">
        <f>E11*0.5</f>
        <v>22.5</v>
      </c>
      <c r="G11" s="78"/>
      <c r="H11" s="75">
        <v>35</v>
      </c>
      <c r="I11" s="75">
        <f>H11*0.5</f>
        <v>17.5</v>
      </c>
      <c r="J11" s="26"/>
      <c r="K11">
        <f>(D11*(B11-C11))+(G11*(E11-F11))+(J11*(H11-I11))</f>
        <v>0</v>
      </c>
    </row>
    <row r="12" spans="1:11" ht="12.75">
      <c r="A12" s="42" t="s">
        <v>114</v>
      </c>
      <c r="B12">
        <v>55</v>
      </c>
      <c r="C12" s="75">
        <f>B12-10</f>
        <v>45</v>
      </c>
      <c r="D12" s="26"/>
      <c r="E12" s="75">
        <v>55</v>
      </c>
      <c r="F12" s="75">
        <f>E12-10</f>
        <v>45</v>
      </c>
      <c r="G12" s="78"/>
      <c r="H12" s="75">
        <v>41</v>
      </c>
      <c r="I12" s="75">
        <f>H12-10</f>
        <v>31</v>
      </c>
      <c r="J12" s="26"/>
      <c r="K12">
        <f t="shared" si="0"/>
        <v>0</v>
      </c>
    </row>
    <row r="13" spans="1:11" ht="12.75">
      <c r="A13" s="43" t="s">
        <v>115</v>
      </c>
      <c r="B13">
        <v>44</v>
      </c>
      <c r="C13" s="75">
        <f>B13*0.5</f>
        <v>22</v>
      </c>
      <c r="D13" s="26"/>
      <c r="E13" s="75">
        <v>37</v>
      </c>
      <c r="F13" s="75">
        <f>E13*0.5</f>
        <v>18.5</v>
      </c>
      <c r="G13" s="78"/>
      <c r="H13" s="75">
        <v>37</v>
      </c>
      <c r="I13" s="75">
        <f>H13*0.5</f>
        <v>18.5</v>
      </c>
      <c r="J13" s="26"/>
      <c r="K13">
        <f t="shared" si="0"/>
        <v>0</v>
      </c>
    </row>
    <row r="14" spans="1:11" ht="12.75">
      <c r="A14" s="71" t="s">
        <v>255</v>
      </c>
      <c r="B14">
        <v>65</v>
      </c>
      <c r="C14" s="75">
        <f>B14-10</f>
        <v>55</v>
      </c>
      <c r="D14" s="26"/>
      <c r="E14" s="75">
        <v>21</v>
      </c>
      <c r="F14" s="79">
        <f>E14-10</f>
        <v>11</v>
      </c>
      <c r="G14" s="78"/>
      <c r="H14" s="75">
        <v>45</v>
      </c>
      <c r="I14" s="75">
        <f>H14-10</f>
        <v>35</v>
      </c>
      <c r="J14" s="26"/>
      <c r="K14">
        <f t="shared" si="0"/>
        <v>0</v>
      </c>
    </row>
    <row r="15" spans="1:11" ht="12.75">
      <c r="A15" s="72" t="s">
        <v>116</v>
      </c>
      <c r="B15">
        <v>65</v>
      </c>
      <c r="C15" s="75">
        <f>B15*0.5</f>
        <v>32.5</v>
      </c>
      <c r="D15" s="26"/>
      <c r="E15" s="75">
        <v>21</v>
      </c>
      <c r="F15" s="79">
        <f>E15*0.5</f>
        <v>10.5</v>
      </c>
      <c r="G15" s="78"/>
      <c r="H15" s="75">
        <v>45</v>
      </c>
      <c r="I15" s="75">
        <f>H15*0.5</f>
        <v>22.5</v>
      </c>
      <c r="J15" s="26"/>
      <c r="K15">
        <f t="shared" si="0"/>
        <v>0</v>
      </c>
    </row>
    <row r="16" spans="1:11" ht="12.75">
      <c r="A16" s="42" t="s">
        <v>117</v>
      </c>
      <c r="B16">
        <v>58</v>
      </c>
      <c r="C16" s="75">
        <f>B16-10</f>
        <v>48</v>
      </c>
      <c r="D16" s="26"/>
      <c r="E16" s="75">
        <v>44</v>
      </c>
      <c r="F16" s="75">
        <f>E16-10</f>
        <v>34</v>
      </c>
      <c r="G16" s="78"/>
      <c r="H16" s="75">
        <v>44</v>
      </c>
      <c r="I16" s="75">
        <f>H16-10</f>
        <v>34</v>
      </c>
      <c r="J16" s="26"/>
      <c r="K16">
        <f t="shared" si="0"/>
        <v>0</v>
      </c>
    </row>
    <row r="17" spans="1:11" ht="12.75">
      <c r="A17" s="43" t="s">
        <v>118</v>
      </c>
      <c r="B17">
        <v>58</v>
      </c>
      <c r="C17" s="75">
        <f>B17*0.5</f>
        <v>29</v>
      </c>
      <c r="D17" s="26"/>
      <c r="E17" s="75">
        <v>44</v>
      </c>
      <c r="F17" s="75">
        <f>E17*0.5</f>
        <v>22</v>
      </c>
      <c r="G17" s="78"/>
      <c r="H17" s="75">
        <v>44</v>
      </c>
      <c r="I17" s="75">
        <f>H17*0.5</f>
        <v>22</v>
      </c>
      <c r="J17" s="26"/>
      <c r="K17">
        <f t="shared" si="0"/>
        <v>0</v>
      </c>
    </row>
    <row r="18" spans="1:11" ht="12.75">
      <c r="A18" s="71" t="s">
        <v>256</v>
      </c>
      <c r="B18">
        <v>66</v>
      </c>
      <c r="C18" s="75">
        <f>B18-10</f>
        <v>56</v>
      </c>
      <c r="D18" s="26"/>
      <c r="E18" s="75">
        <v>55</v>
      </c>
      <c r="F18" s="75">
        <f>E18-10</f>
        <v>45</v>
      </c>
      <c r="G18" s="78"/>
      <c r="H18" s="75">
        <v>55</v>
      </c>
      <c r="I18" s="75">
        <f>H18-10</f>
        <v>45</v>
      </c>
      <c r="J18" s="26"/>
      <c r="K18">
        <f t="shared" si="0"/>
        <v>0</v>
      </c>
    </row>
    <row r="19" spans="1:11" ht="12.75">
      <c r="A19" s="72" t="s">
        <v>120</v>
      </c>
      <c r="B19">
        <v>62</v>
      </c>
      <c r="C19" s="75">
        <f>B19*0.5</f>
        <v>31</v>
      </c>
      <c r="D19" s="26"/>
      <c r="E19" s="75">
        <v>46</v>
      </c>
      <c r="F19" s="75">
        <f>E19*0.5</f>
        <v>23</v>
      </c>
      <c r="G19" s="78"/>
      <c r="H19" s="75">
        <v>46</v>
      </c>
      <c r="I19" s="75">
        <f>H19*0.5</f>
        <v>23</v>
      </c>
      <c r="J19" s="26"/>
      <c r="K19">
        <f t="shared" si="0"/>
        <v>0</v>
      </c>
    </row>
    <row r="20" spans="1:11" s="44" customFormat="1" ht="12.75">
      <c r="A20" s="71" t="s">
        <v>257</v>
      </c>
      <c r="B20" s="44">
        <v>77</v>
      </c>
      <c r="C20" s="76">
        <f>B20-10</f>
        <v>67</v>
      </c>
      <c r="D20" s="26"/>
      <c r="E20" s="76">
        <v>65</v>
      </c>
      <c r="F20" s="76">
        <f>E20-10</f>
        <v>55</v>
      </c>
      <c r="G20" s="78"/>
      <c r="H20" s="76">
        <v>65</v>
      </c>
      <c r="I20" s="76">
        <f>H20-10</f>
        <v>55</v>
      </c>
      <c r="J20" s="26"/>
      <c r="K20" s="44">
        <f t="shared" si="0"/>
        <v>0</v>
      </c>
    </row>
    <row r="21" spans="1:11" s="44" customFormat="1" ht="12.75">
      <c r="A21" s="72" t="s">
        <v>119</v>
      </c>
      <c r="B21" s="44">
        <v>72</v>
      </c>
      <c r="C21" s="76">
        <f>B21*0.5</f>
        <v>36</v>
      </c>
      <c r="D21" s="26"/>
      <c r="E21" s="76">
        <v>61</v>
      </c>
      <c r="F21" s="76">
        <f>E21*0.5</f>
        <v>30.5</v>
      </c>
      <c r="G21" s="78"/>
      <c r="H21" s="76">
        <v>61</v>
      </c>
      <c r="I21" s="76">
        <f>H21*0.5</f>
        <v>30.5</v>
      </c>
      <c r="J21" s="26"/>
      <c r="K21" s="44">
        <f>(D21*(B21-C21))+(G21*(E21-F21))+(J21*(H21-I21))</f>
        <v>0</v>
      </c>
    </row>
    <row r="22" spans="1:11" s="44" customFormat="1" ht="12.75">
      <c r="A22" s="63" t="s">
        <v>253</v>
      </c>
      <c r="B22" s="44">
        <v>60</v>
      </c>
      <c r="C22" s="76">
        <f>B22-10</f>
        <v>50</v>
      </c>
      <c r="D22" s="26"/>
      <c r="E22" s="76">
        <f>B22/2</f>
        <v>30</v>
      </c>
      <c r="F22" s="76">
        <f>E22</f>
        <v>30</v>
      </c>
      <c r="G22" s="78"/>
      <c r="H22" s="76">
        <v>45</v>
      </c>
      <c r="I22" s="76">
        <f>H22-10</f>
        <v>35</v>
      </c>
      <c r="J22" s="26"/>
      <c r="K22" s="44">
        <f>(D22*(B22-C22))+(G22*(E22-F22))+(J22*(H22-I22))</f>
        <v>0</v>
      </c>
    </row>
    <row r="23" spans="1:11" s="44" customFormat="1" ht="12.75">
      <c r="A23" s="44" t="s">
        <v>254</v>
      </c>
      <c r="B23" s="44">
        <v>45</v>
      </c>
      <c r="C23" s="76">
        <f>B23*0.5</f>
        <v>22.5</v>
      </c>
      <c r="D23" s="26"/>
      <c r="E23" s="76">
        <f>B23/2</f>
        <v>22.5</v>
      </c>
      <c r="F23" s="76">
        <f>E23</f>
        <v>22.5</v>
      </c>
      <c r="G23" s="78"/>
      <c r="H23" s="76">
        <v>35</v>
      </c>
      <c r="I23" s="76">
        <f>H23*0.5</f>
        <v>17.5</v>
      </c>
      <c r="J23" s="26"/>
      <c r="K23" s="44">
        <f>(D23*(B23-C23))+(G23*(E23-F23))+(J23*(H23-I23))</f>
        <v>0</v>
      </c>
    </row>
    <row r="24" spans="1:11" ht="12.75">
      <c r="A24" s="71" t="s">
        <v>258</v>
      </c>
      <c r="B24">
        <v>50</v>
      </c>
      <c r="C24" s="75">
        <f>B24-10</f>
        <v>40</v>
      </c>
      <c r="D24" s="26"/>
      <c r="E24" s="75">
        <f>B24*0.67</f>
        <v>33.5</v>
      </c>
      <c r="F24" s="79">
        <f>E24-10</f>
        <v>23.5</v>
      </c>
      <c r="G24" s="78"/>
      <c r="H24" s="75">
        <v>36</v>
      </c>
      <c r="I24" s="75">
        <f>H24-10</f>
        <v>26</v>
      </c>
      <c r="J24" s="26"/>
      <c r="K24">
        <f t="shared" si="0"/>
        <v>0</v>
      </c>
    </row>
    <row r="25" spans="1:11" ht="12.75">
      <c r="A25" s="72" t="s">
        <v>121</v>
      </c>
      <c r="B25">
        <v>43</v>
      </c>
      <c r="C25" s="75">
        <f>B25*0.5</f>
        <v>21.5</v>
      </c>
      <c r="D25" s="26"/>
      <c r="E25" s="75">
        <f>B25*0.67</f>
        <v>28.810000000000002</v>
      </c>
      <c r="F25" s="79">
        <f>E25*0.5</f>
        <v>14.405000000000001</v>
      </c>
      <c r="G25" s="78"/>
      <c r="H25" s="75">
        <v>32</v>
      </c>
      <c r="I25" s="75">
        <f>H25*0.5</f>
        <v>16</v>
      </c>
      <c r="J25" s="26"/>
      <c r="K25">
        <f t="shared" si="0"/>
        <v>0</v>
      </c>
    </row>
    <row r="26" spans="1:11" ht="12.75">
      <c r="A26" s="70" t="s">
        <v>235</v>
      </c>
      <c r="B26">
        <v>49</v>
      </c>
      <c r="C26" s="75">
        <f>B26-10</f>
        <v>39</v>
      </c>
      <c r="D26" s="26"/>
      <c r="E26" s="75">
        <v>35</v>
      </c>
      <c r="F26" s="75">
        <f>E26-10</f>
        <v>25</v>
      </c>
      <c r="G26" s="78"/>
      <c r="H26" s="75">
        <v>35</v>
      </c>
      <c r="I26" s="75">
        <f>H26-10</f>
        <v>25</v>
      </c>
      <c r="J26" s="26"/>
      <c r="K26">
        <f t="shared" si="0"/>
        <v>0</v>
      </c>
    </row>
    <row r="27" spans="1:11" ht="12.75">
      <c r="A27" s="43" t="s">
        <v>112</v>
      </c>
      <c r="B27">
        <v>44</v>
      </c>
      <c r="C27" s="75">
        <f>B27*0.5</f>
        <v>22</v>
      </c>
      <c r="D27" s="26"/>
      <c r="E27" s="75">
        <v>35</v>
      </c>
      <c r="F27" s="75">
        <f>E27*0.5</f>
        <v>17.5</v>
      </c>
      <c r="G27" s="78"/>
      <c r="H27" s="75">
        <v>35</v>
      </c>
      <c r="I27" s="75">
        <f>H27*0.5</f>
        <v>17.5</v>
      </c>
      <c r="J27" s="26"/>
      <c r="K27">
        <f t="shared" si="0"/>
        <v>0</v>
      </c>
    </row>
    <row r="28" spans="1:11" ht="12.75">
      <c r="A28" s="85" t="s">
        <v>236</v>
      </c>
      <c r="B28">
        <v>65</v>
      </c>
      <c r="C28" s="75">
        <f>B28-10</f>
        <v>55</v>
      </c>
      <c r="D28" s="26"/>
      <c r="E28" s="75">
        <v>65</v>
      </c>
      <c r="F28" s="75">
        <f>E28-10</f>
        <v>55</v>
      </c>
      <c r="G28" s="78"/>
      <c r="H28" s="75">
        <v>52</v>
      </c>
      <c r="I28" s="75">
        <f>H28-10</f>
        <v>42</v>
      </c>
      <c r="J28" s="26"/>
      <c r="K28">
        <f t="shared" si="0"/>
        <v>0</v>
      </c>
    </row>
    <row r="29" spans="1:11" ht="12.75">
      <c r="A29" s="51" t="s">
        <v>144</v>
      </c>
      <c r="B29">
        <v>50</v>
      </c>
      <c r="C29" s="75">
        <f>B29*0.5</f>
        <v>25</v>
      </c>
      <c r="D29" s="26"/>
      <c r="E29" s="75">
        <f>B29/2</f>
        <v>25</v>
      </c>
      <c r="F29" s="79">
        <f>E29*0.5</f>
        <v>12.5</v>
      </c>
      <c r="G29" s="78"/>
      <c r="H29" s="75">
        <v>34</v>
      </c>
      <c r="I29" s="75">
        <f>H29*0.5</f>
        <v>17</v>
      </c>
      <c r="J29" s="26"/>
      <c r="K29">
        <f t="shared" si="0"/>
        <v>0</v>
      </c>
    </row>
    <row r="30" spans="1:11" ht="12.75">
      <c r="A30" s="71" t="s">
        <v>259</v>
      </c>
      <c r="B30">
        <v>65</v>
      </c>
      <c r="C30" s="75">
        <f>B30-10</f>
        <v>55</v>
      </c>
      <c r="D30" s="26"/>
      <c r="E30" s="75">
        <v>50</v>
      </c>
      <c r="F30" s="75">
        <f>E30-10</f>
        <v>40</v>
      </c>
      <c r="G30" s="78"/>
      <c r="H30" s="75">
        <v>50</v>
      </c>
      <c r="I30" s="75">
        <f>H30-10</f>
        <v>40</v>
      </c>
      <c r="J30" s="26"/>
      <c r="K30">
        <f t="shared" si="0"/>
        <v>0</v>
      </c>
    </row>
    <row r="31" spans="1:11" ht="12.75">
      <c r="A31" s="72" t="s">
        <v>110</v>
      </c>
      <c r="B31">
        <v>47</v>
      </c>
      <c r="C31" s="75">
        <f>B31*0.5</f>
        <v>23.5</v>
      </c>
      <c r="D31" s="26"/>
      <c r="E31" s="75">
        <v>40</v>
      </c>
      <c r="F31" s="75">
        <f>E31*0.5</f>
        <v>20</v>
      </c>
      <c r="G31" s="78"/>
      <c r="H31" s="75">
        <v>40</v>
      </c>
      <c r="I31" s="75">
        <f>H31*0.5</f>
        <v>20</v>
      </c>
      <c r="J31" s="26"/>
      <c r="K31">
        <f t="shared" si="0"/>
        <v>0</v>
      </c>
    </row>
    <row r="32" ht="12.75">
      <c r="A32" s="33"/>
    </row>
    <row r="33" spans="1:11" ht="12.75">
      <c r="A33" s="85" t="s">
        <v>240</v>
      </c>
      <c r="B33">
        <v>78</v>
      </c>
      <c r="C33" s="75">
        <v>20</v>
      </c>
      <c r="D33" s="26"/>
      <c r="E33" s="75">
        <v>66</v>
      </c>
      <c r="F33" s="75">
        <v>20</v>
      </c>
      <c r="G33" s="78"/>
      <c r="H33" s="75">
        <v>66</v>
      </c>
      <c r="I33" s="75">
        <v>20</v>
      </c>
      <c r="J33" s="26"/>
      <c r="K33">
        <f t="shared" si="0"/>
        <v>0</v>
      </c>
    </row>
    <row r="34" spans="1:11" ht="12.75">
      <c r="A34" s="51" t="s">
        <v>241</v>
      </c>
      <c r="B34">
        <v>69</v>
      </c>
      <c r="C34" s="75">
        <v>20</v>
      </c>
      <c r="D34" s="26"/>
      <c r="E34" s="75">
        <v>60</v>
      </c>
      <c r="F34" s="75">
        <v>20</v>
      </c>
      <c r="G34" s="78"/>
      <c r="H34" s="75">
        <v>60</v>
      </c>
      <c r="I34" s="75">
        <v>20</v>
      </c>
      <c r="J34" s="26"/>
      <c r="K34">
        <f t="shared" si="0"/>
        <v>0</v>
      </c>
    </row>
    <row r="35" ht="12.75"/>
    <row r="36" spans="1:4" ht="12.75">
      <c r="A36" t="s">
        <v>140</v>
      </c>
      <c r="D36" s="26"/>
    </row>
    <row r="37" spans="1:11" ht="12.75">
      <c r="A37" t="s">
        <v>165</v>
      </c>
      <c r="B37">
        <v>72</v>
      </c>
      <c r="C37" s="75">
        <v>0</v>
      </c>
      <c r="D37" s="26"/>
      <c r="E37">
        <f>B37</f>
        <v>72</v>
      </c>
      <c r="F37" s="75">
        <v>0</v>
      </c>
      <c r="G37" s="78"/>
      <c r="H37">
        <f>B37</f>
        <v>72</v>
      </c>
      <c r="I37" s="75">
        <v>0</v>
      </c>
      <c r="J37" s="26"/>
      <c r="K37">
        <f>(D37*B37)+(G37*E37)+(J37*H37)</f>
        <v>0</v>
      </c>
    </row>
    <row r="38" spans="1:11" ht="12.75">
      <c r="A38" t="s">
        <v>166</v>
      </c>
      <c r="B38">
        <v>83</v>
      </c>
      <c r="C38" s="75">
        <v>0</v>
      </c>
      <c r="D38" s="26"/>
      <c r="E38">
        <f>B38</f>
        <v>83</v>
      </c>
      <c r="F38" s="75">
        <v>0</v>
      </c>
      <c r="G38" s="78"/>
      <c r="H38">
        <f>B38</f>
        <v>83</v>
      </c>
      <c r="I38" s="75">
        <v>0</v>
      </c>
      <c r="J38" s="26"/>
      <c r="K38">
        <f>(D38*B38)+(G38*E38)+(J38*H38)</f>
        <v>0</v>
      </c>
    </row>
    <row r="39" spans="1:11" ht="12.75">
      <c r="A39" t="s">
        <v>167</v>
      </c>
      <c r="B39">
        <v>56</v>
      </c>
      <c r="C39" s="75">
        <v>0</v>
      </c>
      <c r="D39" s="26"/>
      <c r="E39">
        <f>B39</f>
        <v>56</v>
      </c>
      <c r="F39" s="75">
        <v>0</v>
      </c>
      <c r="G39" s="78"/>
      <c r="H39">
        <f>B39</f>
        <v>56</v>
      </c>
      <c r="I39" s="75">
        <v>0</v>
      </c>
      <c r="J39" s="26"/>
      <c r="K39">
        <f>(D39*B39)+(G39*E39)+(J39*H39)</f>
        <v>0</v>
      </c>
    </row>
    <row r="40" spans="4:10" ht="12.75">
      <c r="D40" s="44"/>
      <c r="G40" s="45"/>
      <c r="J40" s="44"/>
    </row>
    <row r="41" spans="1:11" ht="12.75">
      <c r="A41" t="s">
        <v>274</v>
      </c>
      <c r="B41">
        <v>25</v>
      </c>
      <c r="C41" s="75">
        <v>0</v>
      </c>
      <c r="D41" s="26"/>
      <c r="G41" s="45"/>
      <c r="J41" s="44"/>
      <c r="K41" s="75">
        <f>(B41-C41)*D41</f>
        <v>0</v>
      </c>
    </row>
    <row r="42" spans="1:11" ht="12.75">
      <c r="A42" t="s">
        <v>273</v>
      </c>
      <c r="B42">
        <v>20</v>
      </c>
      <c r="C42" s="75">
        <v>0</v>
      </c>
      <c r="D42" s="26"/>
      <c r="K42" s="75">
        <f>(B42-C42)*D42</f>
        <v>0</v>
      </c>
    </row>
    <row r="43" spans="1:11" ht="12.75">
      <c r="A43" t="s">
        <v>130</v>
      </c>
      <c r="B43">
        <v>36</v>
      </c>
      <c r="C43" s="75">
        <v>18</v>
      </c>
      <c r="D43" s="26"/>
      <c r="K43" s="75">
        <f>(B43-C43)*D43</f>
        <v>0</v>
      </c>
    </row>
    <row r="44" spans="1:3" ht="12.75">
      <c r="A44" s="33" t="s">
        <v>109</v>
      </c>
      <c r="C44" s="75" t="s">
        <v>275</v>
      </c>
    </row>
    <row r="45" ht="12.75">
      <c r="A45" s="33"/>
    </row>
    <row r="46" ht="12.75">
      <c r="A46" t="s">
        <v>82</v>
      </c>
    </row>
    <row r="47" spans="1:11" ht="12.75">
      <c r="A47" s="33" t="s">
        <v>106</v>
      </c>
      <c r="B47">
        <v>165</v>
      </c>
      <c r="C47" s="75">
        <v>0</v>
      </c>
      <c r="D47" s="97"/>
      <c r="K47" s="75">
        <f>(B47-C47)*D47</f>
        <v>0</v>
      </c>
    </row>
    <row r="48" spans="1:11" ht="12.75">
      <c r="A48" s="33" t="s">
        <v>107</v>
      </c>
      <c r="B48">
        <v>5</v>
      </c>
      <c r="C48" s="75">
        <v>0</v>
      </c>
      <c r="D48" s="97"/>
      <c r="K48" s="75">
        <f>(B48-C48)*D48</f>
        <v>0</v>
      </c>
    </row>
    <row r="49" spans="1:11" ht="12.75">
      <c r="A49" s="33" t="s">
        <v>276</v>
      </c>
      <c r="B49">
        <v>20</v>
      </c>
      <c r="C49" s="75">
        <v>0</v>
      </c>
      <c r="D49" s="97"/>
      <c r="K49" s="75">
        <f>(B49-C49)*D49</f>
        <v>0</v>
      </c>
    </row>
    <row r="50" spans="1:4" ht="12.75">
      <c r="A50" s="33" t="s">
        <v>277</v>
      </c>
      <c r="B50">
        <v>25</v>
      </c>
      <c r="C50" s="75">
        <v>0</v>
      </c>
      <c r="D50" s="26"/>
    </row>
    <row r="51" spans="2:5" ht="12.75">
      <c r="B51" s="33"/>
      <c r="C51" s="77"/>
      <c r="D51" s="33"/>
      <c r="E51" s="77"/>
    </row>
    <row r="52" spans="1:5" ht="12.75">
      <c r="A52" s="33"/>
      <c r="B52" s="33"/>
      <c r="C52" s="77"/>
      <c r="D52" s="33"/>
      <c r="E52" s="77"/>
    </row>
    <row r="53" spans="1:11" ht="12.75">
      <c r="A53" t="s">
        <v>102</v>
      </c>
      <c r="B53">
        <v>130</v>
      </c>
      <c r="C53" s="75">
        <v>100</v>
      </c>
      <c r="D53" s="26"/>
      <c r="K53">
        <f>D53*(B53-C53)</f>
        <v>0</v>
      </c>
    </row>
    <row r="54" spans="1:11" ht="12.75">
      <c r="A54" t="s">
        <v>164</v>
      </c>
      <c r="B54">
        <v>110</v>
      </c>
      <c r="C54" s="75">
        <v>80</v>
      </c>
      <c r="D54" s="26"/>
      <c r="K54">
        <f>D54*(B54-C54)</f>
        <v>0</v>
      </c>
    </row>
    <row r="55" spans="1:3" ht="12.75">
      <c r="A55" t="s">
        <v>141</v>
      </c>
      <c r="C55" s="75" t="s">
        <v>275</v>
      </c>
    </row>
    <row r="56" ht="12.75">
      <c r="A56" t="s">
        <v>272</v>
      </c>
    </row>
    <row r="57" ht="12.75">
      <c r="A57" t="s">
        <v>139</v>
      </c>
    </row>
    <row r="58" spans="11:12" ht="12.75">
      <c r="K58">
        <f>SUM(K7:K57)</f>
        <v>0</v>
      </c>
      <c r="L58" t="s">
        <v>185</v>
      </c>
    </row>
    <row r="59" ht="12.75"/>
  </sheetData>
  <mergeCells count="1">
    <mergeCell ref="A1:J1"/>
  </mergeCells>
  <hyperlinks>
    <hyperlink ref="A7" r:id="rId1" display="-Bristol weekend"/>
    <hyperlink ref="A12" r:id="rId2" display="-Holiday Valley weekend"/>
    <hyperlink ref="A10" r:id="rId3" display="-Crystal weekend"/>
    <hyperlink ref="A14" r:id="rId4" display="-Jay Peak weekend"/>
    <hyperlink ref="A16" r:id="rId5" display="-Jiminy Peak weekend"/>
    <hyperlink ref="A18" r:id="rId6" display="-Mount Sunapee weekend (2005 rates)"/>
    <hyperlink ref="A20" r:id="rId7" display="-Okemo weekend"/>
    <hyperlink ref="A24" r:id="rId8" display="-Shawnee Peak weekend"/>
    <hyperlink ref="A26" r:id="rId9" display="-Wachusett weekend (2005rates)"/>
    <hyperlink ref="A30" r:id="rId10" display="-Wintergreen weekend (2005 rates)"/>
    <hyperlink ref="A28" r:id="rId11" display="Windham weekend"/>
    <hyperlink ref="A9" r:id="rId12" display="-Crested Butte daily pass (flat 25% discount)"/>
    <hyperlink ref="A33" r:id="rId13" display="Stratton Weekend ($20 lift tickets)"/>
    <hyperlink ref="A22" r:id="rId14" display="Seven Springs weekend"/>
  </hyperlinks>
  <printOptions/>
  <pageMargins left="0.75" right="0.75" top="1" bottom="1" header="0.5" footer="0.5"/>
  <pageSetup horizontalDpi="600" verticalDpi="600" orientation="portrait" r:id="rId18"/>
  <ignoredErrors>
    <ignoredError sqref="C24:C30 C11:C21 I11:I22 F24:F30 I24:I30 F11:F21" formula="1"/>
  </ignoredErrors>
  <drawing r:id="rId17"/>
  <legacyDrawing r:id="rId16"/>
</worksheet>
</file>

<file path=xl/worksheets/sheet5.xml><?xml version="1.0" encoding="utf-8"?>
<worksheet xmlns="http://schemas.openxmlformats.org/spreadsheetml/2006/main" xmlns:r="http://schemas.openxmlformats.org/officeDocument/2006/relationships">
  <sheetPr codeName="Sheet5"/>
  <dimension ref="A1:J15"/>
  <sheetViews>
    <sheetView workbookViewId="0" topLeftCell="A1">
      <selection activeCell="A2" sqref="A2"/>
    </sheetView>
  </sheetViews>
  <sheetFormatPr defaultColWidth="9.140625" defaultRowHeight="12.75"/>
  <cols>
    <col min="1" max="1" width="9.140625" style="19" customWidth="1"/>
    <col min="3" max="3" width="13.421875" style="0" customWidth="1"/>
    <col min="4" max="4" width="19.57421875" style="0" customWidth="1"/>
    <col min="5" max="5" width="19.140625" style="0" customWidth="1"/>
  </cols>
  <sheetData>
    <row r="1" spans="1:10" ht="40.5" customHeight="1">
      <c r="A1" s="88" t="s">
        <v>209</v>
      </c>
      <c r="B1" s="91"/>
      <c r="C1" s="91"/>
      <c r="D1" s="91"/>
      <c r="E1" s="91"/>
      <c r="F1" s="91"/>
      <c r="G1" s="91"/>
      <c r="H1" s="91"/>
      <c r="I1" s="91"/>
      <c r="J1" s="91"/>
    </row>
    <row r="4" ht="12.75">
      <c r="B4" t="s">
        <v>58</v>
      </c>
    </row>
    <row r="5" spans="1:6" ht="41.25" customHeight="1">
      <c r="A5" s="19">
        <v>3</v>
      </c>
      <c r="B5" t="s">
        <v>25</v>
      </c>
      <c r="F5" s="25">
        <f>IF(AND(A5&lt;3,'Pass&amp;CardChoice'!B5,NOT('Pass&amp;CardChoice'!F5)),"Please select the rental option on the card choice sheet","")</f>
      </c>
    </row>
    <row r="6" spans="1:2" ht="41.25" customHeight="1">
      <c r="A6" s="19">
        <v>3</v>
      </c>
      <c r="B6" t="s">
        <v>26</v>
      </c>
    </row>
    <row r="7" spans="1:2" ht="41.25" customHeight="1">
      <c r="A7" s="19">
        <v>3</v>
      </c>
      <c r="B7" t="s">
        <v>39</v>
      </c>
    </row>
    <row r="8" spans="1:2" ht="41.25" customHeight="1">
      <c r="A8" s="19">
        <v>3</v>
      </c>
      <c r="B8" t="s">
        <v>40</v>
      </c>
    </row>
    <row r="9" spans="1:2" ht="41.25" customHeight="1">
      <c r="A9" s="19">
        <v>3</v>
      </c>
      <c r="B9" t="s">
        <v>27</v>
      </c>
    </row>
    <row r="10" spans="1:2" ht="41.25" customHeight="1">
      <c r="A10" s="19">
        <v>3</v>
      </c>
      <c r="B10" t="s">
        <v>28</v>
      </c>
    </row>
    <row r="11" spans="1:2" ht="41.25" customHeight="1">
      <c r="A11" s="19">
        <v>3</v>
      </c>
      <c r="B11" t="s">
        <v>29</v>
      </c>
    </row>
    <row r="12" spans="1:2" ht="40.5" customHeight="1">
      <c r="A12" s="19">
        <v>3</v>
      </c>
      <c r="B12" t="s">
        <v>46</v>
      </c>
    </row>
    <row r="13" ht="12.75"/>
    <row r="15" spans="1:2" ht="12.75">
      <c r="A15" s="20">
        <f>IF(A5&lt;3,1,0)+IF(A6&lt;3,1,0)+IF(A7&lt;3,1,0)+IF(A8&lt;3,1,0)+IF(A9&lt;3,1,0)+IF(A10&lt;3,1,0)+IF(A11&lt;3,1,0)+IF(A12&lt;3,1,0)</f>
        <v>0</v>
      </c>
      <c r="B15" t="s">
        <v>66</v>
      </c>
    </row>
  </sheetData>
  <mergeCells count="1">
    <mergeCell ref="A1:J1"/>
  </mergeCells>
  <printOptions/>
  <pageMargins left="0.75" right="0.75" top="1" bottom="1" header="0.5" footer="0.5"/>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Sheet7"/>
  <dimension ref="A1:B34"/>
  <sheetViews>
    <sheetView workbookViewId="0" topLeftCell="A1">
      <selection activeCell="A7" sqref="A7"/>
    </sheetView>
  </sheetViews>
  <sheetFormatPr defaultColWidth="9.140625" defaultRowHeight="12.75"/>
  <cols>
    <col min="1" max="1" width="29.00390625" style="0" customWidth="1"/>
    <col min="2" max="2" width="74.140625" style="0" customWidth="1"/>
  </cols>
  <sheetData>
    <row r="1" s="88" customFormat="1" ht="25.5" customHeight="1">
      <c r="A1" s="88" t="s">
        <v>213</v>
      </c>
    </row>
    <row r="2" ht="12.75">
      <c r="A2" t="s">
        <v>131</v>
      </c>
    </row>
    <row r="6" ht="12.75">
      <c r="A6" s="15" t="s">
        <v>268</v>
      </c>
    </row>
    <row r="7" spans="1:2" ht="12.75">
      <c r="A7" s="17" t="s">
        <v>83</v>
      </c>
      <c r="B7" s="17" t="s">
        <v>50</v>
      </c>
    </row>
    <row r="8" spans="1:2" ht="12.75">
      <c r="A8" s="33" t="s">
        <v>218</v>
      </c>
      <c r="B8" t="s">
        <v>221</v>
      </c>
    </row>
    <row r="9" spans="1:2" ht="12.75">
      <c r="A9" s="13" t="s">
        <v>222</v>
      </c>
      <c r="B9" t="s">
        <v>51</v>
      </c>
    </row>
    <row r="10" spans="1:2" ht="12.75">
      <c r="A10" s="13" t="s">
        <v>260</v>
      </c>
      <c r="B10" t="s">
        <v>52</v>
      </c>
    </row>
    <row r="11" spans="1:2" ht="12.75">
      <c r="A11" t="s">
        <v>232</v>
      </c>
      <c r="B11" t="s">
        <v>53</v>
      </c>
    </row>
    <row r="13" spans="1:2" ht="12.75">
      <c r="A13" s="51" t="s">
        <v>60</v>
      </c>
      <c r="B13" t="s">
        <v>133</v>
      </c>
    </row>
    <row r="14" spans="1:2" ht="12.75">
      <c r="A14" s="51" t="s">
        <v>132</v>
      </c>
      <c r="B14" t="s">
        <v>134</v>
      </c>
    </row>
    <row r="16" ht="12.75">
      <c r="A16" s="16" t="s">
        <v>54</v>
      </c>
    </row>
    <row r="17" spans="1:2" ht="12.75">
      <c r="A17" s="17" t="s">
        <v>83</v>
      </c>
      <c r="B17" s="17" t="s">
        <v>50</v>
      </c>
    </row>
    <row r="18" spans="1:2" ht="12.75">
      <c r="A18" s="80" t="s">
        <v>217</v>
      </c>
      <c r="B18" t="s">
        <v>223</v>
      </c>
    </row>
    <row r="19" spans="1:2" ht="12.75">
      <c r="A19" s="80" t="s">
        <v>247</v>
      </c>
      <c r="B19" t="s">
        <v>51</v>
      </c>
    </row>
    <row r="20" spans="1:2" ht="12.75">
      <c r="A20" s="80" t="s">
        <v>246</v>
      </c>
      <c r="B20" t="s">
        <v>52</v>
      </c>
    </row>
    <row r="21" spans="1:2" ht="12.75">
      <c r="A21" s="44" t="s">
        <v>232</v>
      </c>
      <c r="B21" t="s">
        <v>55</v>
      </c>
    </row>
    <row r="24" ht="12.75">
      <c r="A24" s="15" t="s">
        <v>59</v>
      </c>
    </row>
    <row r="25" spans="1:2" ht="12.75">
      <c r="A25" s="17" t="s">
        <v>83</v>
      </c>
      <c r="B25" s="17" t="s">
        <v>50</v>
      </c>
    </row>
    <row r="26" spans="1:2" ht="12.75">
      <c r="A26" t="s">
        <v>135</v>
      </c>
      <c r="B26" t="s">
        <v>136</v>
      </c>
    </row>
    <row r="27" spans="1:2" ht="12.75">
      <c r="A27" s="17" t="s">
        <v>84</v>
      </c>
      <c r="B27" s="17" t="s">
        <v>50</v>
      </c>
    </row>
    <row r="28" spans="1:2" ht="12.75">
      <c r="A28" s="13" t="s">
        <v>266</v>
      </c>
      <c r="B28" t="s">
        <v>224</v>
      </c>
    </row>
    <row r="29" spans="1:2" ht="12.75">
      <c r="A29" t="s">
        <v>267</v>
      </c>
      <c r="B29" s="44" t="s">
        <v>219</v>
      </c>
    </row>
    <row r="31" ht="12.75">
      <c r="A31" s="15" t="s">
        <v>261</v>
      </c>
    </row>
    <row r="32" spans="1:2" ht="12.75">
      <c r="A32" s="17" t="s">
        <v>84</v>
      </c>
      <c r="B32" s="17" t="s">
        <v>50</v>
      </c>
    </row>
    <row r="33" spans="1:2" ht="12.75">
      <c r="A33" t="s">
        <v>215</v>
      </c>
      <c r="B33" t="s">
        <v>221</v>
      </c>
    </row>
    <row r="34" spans="1:2" ht="12.75">
      <c r="A34" t="s">
        <v>216</v>
      </c>
      <c r="B34" t="s">
        <v>220</v>
      </c>
    </row>
  </sheetData>
  <sheetProtection/>
  <mergeCells count="1">
    <mergeCell ref="A1:IV1"/>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4"/>
  <dimension ref="A1:K38"/>
  <sheetViews>
    <sheetView workbookViewId="0" topLeftCell="A1">
      <selection activeCell="I35" sqref="I35"/>
    </sheetView>
  </sheetViews>
  <sheetFormatPr defaultColWidth="9.140625" defaultRowHeight="12.75"/>
  <cols>
    <col min="1" max="1" width="18.8515625" style="0" customWidth="1"/>
    <col min="2" max="7" width="9.00390625" style="0" customWidth="1"/>
  </cols>
  <sheetData>
    <row r="1" spans="1:9" ht="12.75">
      <c r="A1" s="92" t="s">
        <v>212</v>
      </c>
      <c r="B1" s="92"/>
      <c r="C1" s="92"/>
      <c r="D1" s="92"/>
      <c r="E1" s="92"/>
      <c r="H1" s="44"/>
      <c r="I1" s="44"/>
    </row>
    <row r="2" spans="2:11" ht="12.75">
      <c r="B2" s="41" t="s">
        <v>10</v>
      </c>
      <c r="E2" s="41" t="s">
        <v>99</v>
      </c>
      <c r="H2" t="s">
        <v>13</v>
      </c>
      <c r="K2" s="41" t="s">
        <v>146</v>
      </c>
    </row>
    <row r="3" spans="2:9" ht="12.75">
      <c r="B3" t="s">
        <v>97</v>
      </c>
      <c r="C3" t="s">
        <v>98</v>
      </c>
      <c r="E3" t="s">
        <v>97</v>
      </c>
      <c r="F3" t="s">
        <v>98</v>
      </c>
      <c r="H3" t="s">
        <v>97</v>
      </c>
      <c r="I3" t="s">
        <v>98</v>
      </c>
    </row>
    <row r="4" spans="1:9" ht="12.75">
      <c r="A4" t="s">
        <v>86</v>
      </c>
      <c r="B4">
        <v>38</v>
      </c>
      <c r="C4">
        <f>B4</f>
        <v>38</v>
      </c>
      <c r="E4">
        <v>38</v>
      </c>
      <c r="F4">
        <f>E4</f>
        <v>38</v>
      </c>
      <c r="H4">
        <v>38</v>
      </c>
      <c r="I4">
        <f>H4</f>
        <v>38</v>
      </c>
    </row>
    <row r="5" spans="1:9" ht="12.75">
      <c r="A5" t="s">
        <v>87</v>
      </c>
      <c r="B5">
        <v>44</v>
      </c>
      <c r="C5">
        <v>55</v>
      </c>
      <c r="E5">
        <v>42</v>
      </c>
      <c r="F5">
        <v>52</v>
      </c>
      <c r="H5">
        <v>42</v>
      </c>
      <c r="I5">
        <v>51</v>
      </c>
    </row>
    <row r="6" spans="1:9" ht="12.75">
      <c r="A6" t="s">
        <v>88</v>
      </c>
      <c r="B6">
        <v>49</v>
      </c>
      <c r="C6">
        <v>59</v>
      </c>
      <c r="E6">
        <v>47</v>
      </c>
      <c r="F6">
        <v>58</v>
      </c>
      <c r="H6">
        <v>47</v>
      </c>
      <c r="I6">
        <v>56</v>
      </c>
    </row>
    <row r="7" spans="1:9" ht="12.75">
      <c r="A7" t="s">
        <v>89</v>
      </c>
      <c r="B7">
        <v>55</v>
      </c>
      <c r="C7">
        <v>63</v>
      </c>
      <c r="E7">
        <v>55</v>
      </c>
      <c r="F7">
        <v>63</v>
      </c>
      <c r="H7">
        <v>55</v>
      </c>
      <c r="I7">
        <v>61</v>
      </c>
    </row>
    <row r="8" spans="1:9" ht="12.75">
      <c r="A8" t="s">
        <v>90</v>
      </c>
      <c r="B8">
        <v>32</v>
      </c>
      <c r="C8">
        <v>32</v>
      </c>
      <c r="E8">
        <v>32</v>
      </c>
      <c r="F8">
        <v>32</v>
      </c>
      <c r="H8">
        <v>32</v>
      </c>
      <c r="I8">
        <f>H8</f>
        <v>32</v>
      </c>
    </row>
    <row r="9" spans="1:9" ht="12.75">
      <c r="A9" t="s">
        <v>91</v>
      </c>
      <c r="B9">
        <v>39</v>
      </c>
      <c r="C9">
        <v>47</v>
      </c>
      <c r="E9">
        <v>37</v>
      </c>
      <c r="F9">
        <v>46</v>
      </c>
      <c r="H9">
        <v>37</v>
      </c>
      <c r="I9">
        <v>45</v>
      </c>
    </row>
    <row r="10" spans="1:9" ht="12.75">
      <c r="A10" t="s">
        <v>92</v>
      </c>
      <c r="B10">
        <v>43</v>
      </c>
      <c r="C10">
        <v>52</v>
      </c>
      <c r="E10">
        <v>42</v>
      </c>
      <c r="F10">
        <v>52</v>
      </c>
      <c r="H10">
        <v>42</v>
      </c>
      <c r="I10">
        <v>49</v>
      </c>
    </row>
    <row r="11" spans="1:9" ht="12.75">
      <c r="A11" t="s">
        <v>93</v>
      </c>
      <c r="B11">
        <v>48</v>
      </c>
      <c r="C11">
        <v>55</v>
      </c>
      <c r="E11">
        <v>47</v>
      </c>
      <c r="F11">
        <v>55</v>
      </c>
      <c r="H11">
        <v>47</v>
      </c>
      <c r="I11">
        <v>54</v>
      </c>
    </row>
    <row r="12" spans="1:8" ht="12.75">
      <c r="A12" t="s">
        <v>94</v>
      </c>
      <c r="B12">
        <v>12</v>
      </c>
      <c r="H12">
        <v>11</v>
      </c>
    </row>
    <row r="13" spans="1:6" ht="12.75">
      <c r="A13" t="s">
        <v>153</v>
      </c>
      <c r="C13" s="82">
        <v>110</v>
      </c>
      <c r="E13" s="44">
        <v>94</v>
      </c>
      <c r="F13">
        <v>115</v>
      </c>
    </row>
    <row r="14" spans="1:6" ht="12.75">
      <c r="A14" t="s">
        <v>154</v>
      </c>
      <c r="C14" s="82">
        <v>98</v>
      </c>
      <c r="E14" s="44">
        <v>84</v>
      </c>
      <c r="F14">
        <v>104</v>
      </c>
    </row>
    <row r="15" spans="1:3" ht="12.75">
      <c r="A15" t="s">
        <v>155</v>
      </c>
      <c r="C15" s="82">
        <v>165</v>
      </c>
    </row>
    <row r="16" spans="1:3" ht="12.75">
      <c r="A16" t="s">
        <v>156</v>
      </c>
      <c r="C16" s="82">
        <v>147</v>
      </c>
    </row>
    <row r="18" ht="12.75">
      <c r="A18" t="s">
        <v>95</v>
      </c>
    </row>
    <row r="19" spans="1:9" ht="12.75">
      <c r="A19" t="s">
        <v>86</v>
      </c>
      <c r="B19">
        <v>40</v>
      </c>
      <c r="C19">
        <f>B19</f>
        <v>40</v>
      </c>
      <c r="E19">
        <v>38</v>
      </c>
      <c r="F19">
        <f>E19</f>
        <v>38</v>
      </c>
      <c r="H19">
        <v>35</v>
      </c>
      <c r="I19">
        <f>H19</f>
        <v>35</v>
      </c>
    </row>
    <row r="20" spans="1:9" ht="12.75">
      <c r="A20" t="s">
        <v>87</v>
      </c>
      <c r="B20">
        <f>$B$19</f>
        <v>40</v>
      </c>
      <c r="C20">
        <f>B20</f>
        <v>40</v>
      </c>
      <c r="E20">
        <f>$E$19</f>
        <v>38</v>
      </c>
      <c r="F20">
        <f>E20</f>
        <v>38</v>
      </c>
      <c r="H20">
        <f>$H$19</f>
        <v>35</v>
      </c>
      <c r="I20">
        <f>H20</f>
        <v>35</v>
      </c>
    </row>
    <row r="21" spans="1:9" ht="12.75">
      <c r="A21" t="s">
        <v>88</v>
      </c>
      <c r="B21">
        <f>$B$19</f>
        <v>40</v>
      </c>
      <c r="C21">
        <f>B21</f>
        <v>40</v>
      </c>
      <c r="E21">
        <f>$E$19</f>
        <v>38</v>
      </c>
      <c r="F21">
        <f>E21</f>
        <v>38</v>
      </c>
      <c r="H21">
        <f>$H$19</f>
        <v>35</v>
      </c>
      <c r="I21">
        <f>H21</f>
        <v>35</v>
      </c>
    </row>
    <row r="22" spans="1:9" ht="12.75">
      <c r="A22" t="s">
        <v>89</v>
      </c>
      <c r="B22">
        <f>$B$19</f>
        <v>40</v>
      </c>
      <c r="C22">
        <f>B22</f>
        <v>40</v>
      </c>
      <c r="E22">
        <f>$E$19</f>
        <v>38</v>
      </c>
      <c r="F22">
        <f>E22</f>
        <v>38</v>
      </c>
      <c r="H22">
        <f>$H$19</f>
        <v>35</v>
      </c>
      <c r="I22">
        <f>H22</f>
        <v>35</v>
      </c>
    </row>
    <row r="23" spans="1:9" ht="12.75">
      <c r="A23" t="s">
        <v>100</v>
      </c>
      <c r="H23" s="82">
        <v>34</v>
      </c>
      <c r="I23" s="82">
        <f>H23</f>
        <v>34</v>
      </c>
    </row>
    <row r="24" spans="1:6" ht="12.75">
      <c r="A24" t="s">
        <v>157</v>
      </c>
      <c r="C24" s="82">
        <v>72</v>
      </c>
      <c r="F24" s="82">
        <v>72</v>
      </c>
    </row>
    <row r="25" spans="1:3" ht="12.75">
      <c r="A25" t="s">
        <v>158</v>
      </c>
      <c r="C25" s="82">
        <v>108</v>
      </c>
    </row>
    <row r="27" ht="12.75">
      <c r="A27" t="s">
        <v>96</v>
      </c>
    </row>
    <row r="28" spans="1:9" ht="12.75">
      <c r="A28" t="s">
        <v>86</v>
      </c>
      <c r="B28">
        <v>46</v>
      </c>
      <c r="C28">
        <f>B28</f>
        <v>46</v>
      </c>
      <c r="E28">
        <v>44</v>
      </c>
      <c r="F28">
        <f>E28</f>
        <v>44</v>
      </c>
      <c r="H28">
        <v>40</v>
      </c>
      <c r="I28">
        <f>H28</f>
        <v>40</v>
      </c>
    </row>
    <row r="29" spans="1:9" ht="12.75">
      <c r="A29" t="s">
        <v>87</v>
      </c>
      <c r="B29">
        <f>$B$28</f>
        <v>46</v>
      </c>
      <c r="C29">
        <f>B29</f>
        <v>46</v>
      </c>
      <c r="E29">
        <f>$E$28</f>
        <v>44</v>
      </c>
      <c r="F29">
        <f>E29</f>
        <v>44</v>
      </c>
      <c r="H29">
        <f>$H$28</f>
        <v>40</v>
      </c>
      <c r="I29">
        <f>H29</f>
        <v>40</v>
      </c>
    </row>
    <row r="30" spans="1:9" ht="12.75">
      <c r="A30" t="s">
        <v>88</v>
      </c>
      <c r="B30">
        <f>$B$28</f>
        <v>46</v>
      </c>
      <c r="C30">
        <f>B30</f>
        <v>46</v>
      </c>
      <c r="E30">
        <f>$E$28</f>
        <v>44</v>
      </c>
      <c r="F30">
        <f>E30</f>
        <v>44</v>
      </c>
      <c r="H30">
        <f>$H$28</f>
        <v>40</v>
      </c>
      <c r="I30">
        <f>H30</f>
        <v>40</v>
      </c>
    </row>
    <row r="31" spans="1:9" ht="12.75">
      <c r="A31" t="s">
        <v>89</v>
      </c>
      <c r="B31">
        <f>$B$28</f>
        <v>46</v>
      </c>
      <c r="C31">
        <f>B31</f>
        <v>46</v>
      </c>
      <c r="E31">
        <f>$E$28</f>
        <v>44</v>
      </c>
      <c r="F31">
        <f>E31</f>
        <v>44</v>
      </c>
      <c r="H31">
        <f>$H$28</f>
        <v>40</v>
      </c>
      <c r="I31">
        <f>H31</f>
        <v>40</v>
      </c>
    </row>
    <row r="32" spans="1:6" ht="12.75">
      <c r="A32" t="s">
        <v>157</v>
      </c>
      <c r="C32" s="82">
        <v>84</v>
      </c>
      <c r="F32" s="82">
        <v>84</v>
      </c>
    </row>
    <row r="33" spans="1:3" ht="12.75">
      <c r="A33" t="s">
        <v>158</v>
      </c>
      <c r="C33" s="82">
        <v>126</v>
      </c>
    </row>
    <row r="35" spans="1:9" ht="12.75">
      <c r="A35" t="s">
        <v>16</v>
      </c>
      <c r="B35">
        <v>36</v>
      </c>
      <c r="C35">
        <v>36</v>
      </c>
      <c r="E35">
        <v>36</v>
      </c>
      <c r="F35">
        <f>E35</f>
        <v>36</v>
      </c>
      <c r="H35">
        <v>36</v>
      </c>
      <c r="I35">
        <f>H35</f>
        <v>36</v>
      </c>
    </row>
    <row r="38" ht="12.75">
      <c r="A38" t="s">
        <v>251</v>
      </c>
    </row>
  </sheetData>
  <sheetProtection/>
  <mergeCells count="1">
    <mergeCell ref="A1:E1"/>
  </mergeCells>
  <hyperlinks>
    <hyperlink ref="K2" r:id="rId1" display="Stratton"/>
    <hyperlink ref="B2" r:id="rId2" display="Whitetail"/>
    <hyperlink ref="E2" r:id="rId3" display="Liberty"/>
  </hyperlinks>
  <printOptions/>
  <pageMargins left="0.75" right="0.75" top="1" bottom="1" header="0.5" footer="0.5"/>
  <pageSetup orientation="portrait" r:id="rId4"/>
</worksheet>
</file>

<file path=xl/worksheets/sheet8.xml><?xml version="1.0" encoding="utf-8"?>
<worksheet xmlns="http://schemas.openxmlformats.org/spreadsheetml/2006/main" xmlns:r="http://schemas.openxmlformats.org/officeDocument/2006/relationships">
  <sheetPr codeName="Sheet2"/>
  <dimension ref="A1:K11"/>
  <sheetViews>
    <sheetView workbookViewId="0" topLeftCell="A1">
      <selection activeCell="A1" sqref="A1:K1"/>
    </sheetView>
  </sheetViews>
  <sheetFormatPr defaultColWidth="9.140625" defaultRowHeight="12.75"/>
  <cols>
    <col min="5" max="5" width="9.140625" style="21" customWidth="1"/>
  </cols>
  <sheetData>
    <row r="1" spans="1:11" s="44" customFormat="1" ht="27.75" customHeight="1">
      <c r="A1" s="93" t="s">
        <v>71</v>
      </c>
      <c r="B1" s="94"/>
      <c r="C1" s="94"/>
      <c r="D1" s="94"/>
      <c r="E1" s="94"/>
      <c r="F1" s="94"/>
      <c r="G1" s="94"/>
      <c r="H1" s="94"/>
      <c r="I1" s="94"/>
      <c r="J1" s="94"/>
      <c r="K1" s="94"/>
    </row>
    <row r="2" spans="3:6" ht="12.75">
      <c r="C2" t="s">
        <v>36</v>
      </c>
      <c r="D2" t="s">
        <v>37</v>
      </c>
      <c r="E2" s="21" t="s">
        <v>38</v>
      </c>
      <c r="F2" t="s">
        <v>57</v>
      </c>
    </row>
    <row r="3" spans="2:6" ht="12.75">
      <c r="B3" t="s">
        <v>25</v>
      </c>
      <c r="C3">
        <f>ROUNDDOWN((Calculator!C15+Calculator!C26+Calculator!C37+IF('Pass&amp;CardChoice'!$B$41,0,Calculator!C48)+Calculator!C59+Calculator!C70+Calculator!C81+(2*(Calculator!C92))+(3*(Calculator!C103))+Calculator!C119+Calculator!C130+Calculator!C141+IF('Pass&amp;CardChoice'!$B$41,0,Calculator!C152)+Calculator!C163+Calculator!C174+Calculator!C185+(2*(Calculator!C196))+Calculator!C213+Calculator!C224+Calculator!C235+IF('Pass&amp;CardChoice'!$B$41,0,Calculator!C246)+Calculator!C257+Calculator!C268+Calculator!C279)/5,0)</f>
        <v>0</v>
      </c>
      <c r="D3">
        <f>(Calculator!G15+Calculator!G26+Calculator!G37+Calculator!G48+Calculator!G70+Calculator!G81+Calculator!G119+Calculator!G130+Calculator!G141+Calculator!G152+Calculator!G163+Calculator!G174+Calculator!G185+Calculator!G213+Calculator!G224+Calculator!G235+Calculator!G246+Calculator!G257+Calculator!G268+Calculator!G279)</f>
        <v>0</v>
      </c>
      <c r="E3" s="21">
        <f>C3-D3</f>
        <v>0</v>
      </c>
      <c r="F3">
        <f>IF(E3&lt;0,"Error - too many free tickets used","")</f>
      </c>
    </row>
    <row r="4" spans="2:6" ht="12.75">
      <c r="B4" t="s">
        <v>26</v>
      </c>
      <c r="C4">
        <f>ROUNDDOWN((Calculator!C16+Calculator!C27+Calculator!C38+IF('Pass&amp;CardChoice'!$B$41,0,Calculator!C49)+Calculator!C60+Calculator!C71+Calculator!C82+(2*(Calculator!C93))+(3*(Calculator!C104))+Calculator!C120+Calculator!C131+Calculator!C142+IF('Pass&amp;CardChoice'!$B$41,0,Calculator!C153)+Calculator!C164+Calculator!C175+Calculator!C186+(2*(Calculator!C197))+Calculator!C214+Calculator!C225+Calculator!C236+IF('Pass&amp;CardChoice'!$B$41,0,Calculator!C247)+Calculator!C258+Calculator!C269+Calculator!C280)/5,0)</f>
        <v>0</v>
      </c>
      <c r="D4">
        <f>(Calculator!G16+Calculator!G27+Calculator!G38+Calculator!G49+Calculator!G71+Calculator!G82+Calculator!G120+Calculator!G131+Calculator!G142+Calculator!G153+Calculator!G164+Calculator!G175+Calculator!G186+Calculator!G214+Calculator!G225+Calculator!G236+Calculator!G247+Calculator!G258+Calculator!G269+Calculator!G280)</f>
        <v>0</v>
      </c>
      <c r="E4" s="21">
        <f aca="true" t="shared" si="0" ref="E4:E10">C4-D4</f>
        <v>0</v>
      </c>
      <c r="F4">
        <f aca="true" t="shared" si="1" ref="F4:F10">IF(E4&lt;0,"Error - too many free tickets used","")</f>
      </c>
    </row>
    <row r="5" spans="2:6" ht="12.75">
      <c r="B5" t="s">
        <v>39</v>
      </c>
      <c r="C5">
        <f>ROUNDDOWN((Calculator!C17+Calculator!C28+Calculator!C39+IF('Pass&amp;CardChoice'!$B$41,0,Calculator!C50)+Calculator!C61+Calculator!C72+Calculator!C83+(2*(Calculator!C94))+(3*(Calculator!C105))+Calculator!C121+Calculator!C132+Calculator!C143+IF('Pass&amp;CardChoice'!$B$41,0,Calculator!C154)+Calculator!C165+Calculator!C176+Calculator!C187+(2*(Calculator!C198))+Calculator!C215+Calculator!C226+Calculator!C237+IF('Pass&amp;CardChoice'!$B$41,0,Calculator!C248)+Calculator!C259+Calculator!C270+Calculator!C281)/5,0)</f>
        <v>0</v>
      </c>
      <c r="D5">
        <f>(Calculator!G17+Calculator!G28+Calculator!G39+Calculator!G50+Calculator!G72+Calculator!G83+Calculator!G121+Calculator!G132+Calculator!G143+Calculator!G154+Calculator!G165+Calculator!G176+Calculator!G187+Calculator!G215+Calculator!G226+Calculator!G237+Calculator!G248+Calculator!G259+Calculator!G270+Calculator!G281)</f>
        <v>0</v>
      </c>
      <c r="E5" s="21">
        <f t="shared" si="0"/>
        <v>0</v>
      </c>
      <c r="F5">
        <f t="shared" si="1"/>
      </c>
    </row>
    <row r="6" spans="2:6" ht="12.75">
      <c r="B6" t="s">
        <v>40</v>
      </c>
      <c r="C6">
        <f>ROUNDDOWN((Calculator!C18+Calculator!C29+Calculator!C40+IF('Pass&amp;CardChoice'!$B$41,0,Calculator!C51)+Calculator!C62+Calculator!C73+Calculator!C84+(2*(Calculator!C95))+(3*(Calculator!C106))+Calculator!C122+Calculator!C133+Calculator!C144+IF('Pass&amp;CardChoice'!$B$41,0,Calculator!C155)+Calculator!C166+Calculator!C177+Calculator!C188+(2*(Calculator!C199))+Calculator!C216+Calculator!C227+Calculator!C238+IF('Pass&amp;CardChoice'!$B$41,0,Calculator!C249)+Calculator!C260+Calculator!C271+Calculator!C282)/5,0)</f>
        <v>0</v>
      </c>
      <c r="D6">
        <f>(Calculator!G18+Calculator!G29+Calculator!G40+Calculator!G51+Calculator!G73+Calculator!G84+Calculator!G122+Calculator!G133+Calculator!G144+Calculator!G155+Calculator!G166+Calculator!G177+Calculator!G188+Calculator!G216+Calculator!G227+Calculator!G238+Calculator!G249+Calculator!G260+Calculator!G271+Calculator!G282)</f>
        <v>0</v>
      </c>
      <c r="E6" s="21">
        <f t="shared" si="0"/>
        <v>0</v>
      </c>
      <c r="F6">
        <f t="shared" si="1"/>
      </c>
    </row>
    <row r="7" spans="2:6" ht="12.75">
      <c r="B7" t="s">
        <v>27</v>
      </c>
      <c r="C7">
        <f>ROUNDDOWN((Calculator!C19+Calculator!C30+Calculator!C41+IF('Pass&amp;CardChoice'!$B$41,0,Calculator!C52)+Calculator!C63+Calculator!C74+Calculator!C85+(2*(Calculator!C96))+(3*(Calculator!C107))+Calculator!C123+Calculator!C134+Calculator!C145+IF('Pass&amp;CardChoice'!$B$41,0,Calculator!C156)+Calculator!C167+Calculator!C178+Calculator!C189+(2*(Calculator!C200))+Calculator!C217+Calculator!C228+Calculator!C239+IF('Pass&amp;CardChoice'!$B$41,0,Calculator!C250)+Calculator!C261+Calculator!C272+Calculator!C283)/5,0)</f>
        <v>0</v>
      </c>
      <c r="D7">
        <f>(Calculator!G19+Calculator!G30+Calculator!G41+Calculator!G52+Calculator!G74+Calculator!G85+Calculator!G123+Calculator!G134+Calculator!G145+Calculator!G156+Calculator!G167+Calculator!G178+Calculator!G189+Calculator!G217+Calculator!G228+Calculator!G239+Calculator!G250+Calculator!G261+Calculator!G272+Calculator!G283)</f>
        <v>0</v>
      </c>
      <c r="E7" s="21">
        <f t="shared" si="0"/>
        <v>0</v>
      </c>
      <c r="F7">
        <f t="shared" si="1"/>
      </c>
    </row>
    <row r="8" spans="2:6" ht="12.75">
      <c r="B8" t="s">
        <v>28</v>
      </c>
      <c r="C8">
        <f>ROUNDDOWN((Calculator!C20+Calculator!C31+Calculator!C42+IF('Pass&amp;CardChoice'!$B$41,0,Calculator!C53)+Calculator!C64+Calculator!C75+Calculator!C86+(2*(Calculator!C97))+(3*(Calculator!C108))+Calculator!C124+Calculator!C135+Calculator!C146+IF('Pass&amp;CardChoice'!$B$41,0,Calculator!C157)+Calculator!C168+Calculator!C179+Calculator!C190+(2*(Calculator!C201))+Calculator!C218+Calculator!C229+Calculator!C240+IF('Pass&amp;CardChoice'!$B$41,0,Calculator!C251)+Calculator!C262+Calculator!C273+Calculator!C284)/5,0)</f>
        <v>0</v>
      </c>
      <c r="D8">
        <f>(Calculator!G20+Calculator!G31+Calculator!G42+Calculator!G53+Calculator!G75+Calculator!G86+Calculator!G124+Calculator!G135+Calculator!G146+Calculator!G157+Calculator!G168+Calculator!G179+Calculator!G190+Calculator!G218+Calculator!G229+Calculator!G240+Calculator!G251+Calculator!G262+Calculator!G273+Calculator!G284)</f>
        <v>0</v>
      </c>
      <c r="E8" s="21">
        <f t="shared" si="0"/>
        <v>0</v>
      </c>
      <c r="F8">
        <f t="shared" si="1"/>
      </c>
    </row>
    <row r="9" spans="2:6" ht="12.75">
      <c r="B9" t="s">
        <v>29</v>
      </c>
      <c r="C9">
        <f>ROUNDDOWN((Calculator!C21+Calculator!C32+Calculator!C43+IF('Pass&amp;CardChoice'!$B$41,0,Calculator!C54)+Calculator!C65+Calculator!C76+Calculator!C87+(2*(Calculator!C98))+(3*(Calculator!C109))+Calculator!C125+Calculator!C136+Calculator!C147+IF('Pass&amp;CardChoice'!$B$41,0,Calculator!C158)+Calculator!C169+Calculator!C180+Calculator!C191+(2*(Calculator!C202))+Calculator!C219+Calculator!C230+Calculator!C241+IF('Pass&amp;CardChoice'!$B$41,0,Calculator!C252)+Calculator!C263+Calculator!C274+Calculator!C285)/5,0)</f>
        <v>0</v>
      </c>
      <c r="D9">
        <f>(Calculator!G21+Calculator!G32+Calculator!G43+Calculator!G54+Calculator!G76+Calculator!G87+Calculator!G125+Calculator!G136+Calculator!G147+Calculator!G158+Calculator!G169+Calculator!G180+Calculator!G191+Calculator!G219+Calculator!G230+Calculator!G241+Calculator!G252+Calculator!G263+Calculator!G274+Calculator!G285)</f>
        <v>0</v>
      </c>
      <c r="E9" s="21">
        <f t="shared" si="0"/>
        <v>0</v>
      </c>
      <c r="F9">
        <f t="shared" si="1"/>
      </c>
    </row>
    <row r="10" spans="2:6" ht="12.75">
      <c r="B10" t="s">
        <v>46</v>
      </c>
      <c r="C10">
        <f>ROUNDDOWN((Calculator!C22+Calculator!C33+Calculator!C44+IF('Pass&amp;CardChoice'!$B$41,0,Calculator!C55)+Calculator!C66+Calculator!C77+Calculator!C88+(2*(Calculator!C99))+(3*(Calculator!C110))+Calculator!C126+Calculator!C137+Calculator!C148+IF('Pass&amp;CardChoice'!$B$41,0,Calculator!C159)+Calculator!C170+Calculator!C181+Calculator!C192+(2*(Calculator!C203))+Calculator!C220+Calculator!C231+Calculator!C242+IF('Pass&amp;CardChoice'!$B$41,0,Calculator!C253)+Calculator!C264+Calculator!C275+Calculator!C286)/5,0)</f>
        <v>0</v>
      </c>
      <c r="D10">
        <f>(Calculator!G22+Calculator!G33+Calculator!G44+Calculator!G55+Calculator!G77+Calculator!G88+Calculator!G126+Calculator!G137+Calculator!G148+Calculator!G159+Calculator!G170+Calculator!G181+Calculator!G192+Calculator!G220+Calculator!G231+Calculator!G242+Calculator!G253+Calculator!G264+Calculator!G275+Calculator!G286)</f>
        <v>0</v>
      </c>
      <c r="E10" s="21">
        <f t="shared" si="0"/>
        <v>0</v>
      </c>
      <c r="F10">
        <f t="shared" si="1"/>
      </c>
    </row>
    <row r="11" spans="3:6" ht="12.75">
      <c r="C11">
        <f>SUM(C3:C10)</f>
        <v>0</v>
      </c>
      <c r="E11" s="21">
        <f>SUM(E3:E10)</f>
        <v>0</v>
      </c>
      <c r="F11" t="s">
        <v>70</v>
      </c>
    </row>
  </sheetData>
  <sheetProtection sheet="1" objects="1" scenarios="1" selectLockedCells="1" selectUnlockedCells="1"/>
  <mergeCells count="1">
    <mergeCell ref="A1:K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1:A71"/>
  <sheetViews>
    <sheetView workbookViewId="0" topLeftCell="A1">
      <selection activeCell="A28" sqref="A28"/>
    </sheetView>
  </sheetViews>
  <sheetFormatPr defaultColWidth="9.140625" defaultRowHeight="12.75"/>
  <cols>
    <col min="1" max="1" width="133.421875" style="1" customWidth="1"/>
  </cols>
  <sheetData>
    <row r="1" ht="26.25" customHeight="1">
      <c r="A1" s="8" t="s">
        <v>69</v>
      </c>
    </row>
    <row r="2" ht="26.25" customHeight="1">
      <c r="A2" s="8"/>
    </row>
    <row r="3" ht="26.25" customHeight="1">
      <c r="A3" s="83" t="s">
        <v>252</v>
      </c>
    </row>
    <row r="4" ht="26.25" customHeight="1">
      <c r="A4" s="83" t="s">
        <v>269</v>
      </c>
    </row>
    <row r="5" ht="26.25" customHeight="1">
      <c r="A5" s="83" t="s">
        <v>270</v>
      </c>
    </row>
    <row r="6" ht="26.25" customHeight="1">
      <c r="A6" s="83"/>
    </row>
    <row r="7" ht="26.25" customHeight="1">
      <c r="A7" s="83"/>
    </row>
    <row r="8" ht="26.25" customHeight="1">
      <c r="A8" s="83"/>
    </row>
    <row r="9" ht="26.25" customHeight="1">
      <c r="A9" s="10" t="s">
        <v>230</v>
      </c>
    </row>
    <row r="10" ht="26.25" customHeight="1">
      <c r="A10" s="10" t="s">
        <v>229</v>
      </c>
    </row>
    <row r="11" ht="26.25" customHeight="1">
      <c r="A11" s="10" t="s">
        <v>245</v>
      </c>
    </row>
    <row r="12" ht="26.25" customHeight="1"/>
    <row r="13" ht="26.25" customHeight="1">
      <c r="A13" s="1" t="s">
        <v>231</v>
      </c>
    </row>
    <row r="14" ht="26.25" customHeight="1">
      <c r="A14" s="10"/>
    </row>
    <row r="15" ht="26.25" customHeight="1">
      <c r="A15" s="10" t="s">
        <v>239</v>
      </c>
    </row>
    <row r="16" ht="26.25" customHeight="1">
      <c r="A16" s="10"/>
    </row>
    <row r="17" ht="26.25" customHeight="1">
      <c r="A17" s="10"/>
    </row>
    <row r="18" ht="26.25" customHeight="1">
      <c r="A18" s="10"/>
    </row>
    <row r="19" ht="26.25" customHeight="1">
      <c r="A19" s="10" t="s">
        <v>169</v>
      </c>
    </row>
    <row r="20" ht="26.25" customHeight="1">
      <c r="A20" s="1" t="s">
        <v>183</v>
      </c>
    </row>
    <row r="21" ht="26.25" customHeight="1">
      <c r="A21" s="1" t="s">
        <v>173</v>
      </c>
    </row>
    <row r="22" ht="26.25" customHeight="1">
      <c r="A22" s="37"/>
    </row>
    <row r="23" s="36" customFormat="1" ht="26.25" customHeight="1">
      <c r="A23" s="37" t="s">
        <v>150</v>
      </c>
    </row>
    <row r="24" s="36" customFormat="1" ht="26.25" customHeight="1">
      <c r="A24" s="37"/>
    </row>
    <row r="25" s="36" customFormat="1" ht="26.25" customHeight="1">
      <c r="A25" s="37" t="s">
        <v>147</v>
      </c>
    </row>
    <row r="26" s="36" customFormat="1" ht="26.25" customHeight="1">
      <c r="A26" s="37" t="s">
        <v>214</v>
      </c>
    </row>
    <row r="27" s="36" customFormat="1" ht="26.25" customHeight="1">
      <c r="A27" s="37" t="s">
        <v>271</v>
      </c>
    </row>
    <row r="28" s="36" customFormat="1" ht="26.25" customHeight="1">
      <c r="A28" s="1" t="s">
        <v>168</v>
      </c>
    </row>
    <row r="29" ht="12.75">
      <c r="A29" s="10" t="s">
        <v>149</v>
      </c>
    </row>
    <row r="30" ht="26.25" customHeight="1">
      <c r="A30" s="10" t="s">
        <v>128</v>
      </c>
    </row>
    <row r="31" ht="26.25" customHeight="1"/>
    <row r="32" ht="26.25" customHeight="1"/>
    <row r="33" ht="26.25" customHeight="1">
      <c r="A33" s="10" t="s">
        <v>184</v>
      </c>
    </row>
    <row r="34" ht="26.25" customHeight="1">
      <c r="A34" s="10" t="s">
        <v>85</v>
      </c>
    </row>
    <row r="35" ht="26.25" customHeight="1">
      <c r="A35" s="10" t="s">
        <v>182</v>
      </c>
    </row>
    <row r="36" ht="26.25" customHeight="1">
      <c r="A36" s="10"/>
    </row>
    <row r="37" ht="26.25" customHeight="1">
      <c r="A37" s="1" t="s">
        <v>211</v>
      </c>
    </row>
    <row r="38" ht="26.25" customHeight="1">
      <c r="A38" s="10"/>
    </row>
    <row r="39" ht="26.25" customHeight="1">
      <c r="A39" s="1" t="s">
        <v>152</v>
      </c>
    </row>
    <row r="40" ht="26.25" customHeight="1">
      <c r="A40" s="10" t="s">
        <v>73</v>
      </c>
    </row>
    <row r="41" ht="26.25" customHeight="1"/>
    <row r="42" ht="26.25" customHeight="1">
      <c r="A42" s="10" t="s">
        <v>125</v>
      </c>
    </row>
    <row r="43" ht="26.25" customHeight="1">
      <c r="A43" s="1" t="s">
        <v>31</v>
      </c>
    </row>
    <row r="44" ht="26.25" customHeight="1"/>
    <row r="45" ht="26.25" customHeight="1"/>
    <row r="46" ht="26.25" customHeight="1"/>
    <row r="47" ht="26.25" customHeight="1">
      <c r="A47" s="10" t="s">
        <v>72</v>
      </c>
    </row>
    <row r="48" ht="26.25" customHeight="1"/>
    <row r="49" ht="26.25" customHeight="1">
      <c r="A49" s="1" t="s">
        <v>148</v>
      </c>
    </row>
    <row r="50" ht="26.25" customHeight="1">
      <c r="A50" s="10"/>
    </row>
    <row r="51" ht="26.25" customHeight="1">
      <c r="A51" s="28" t="s">
        <v>74</v>
      </c>
    </row>
    <row r="52" ht="26.25" customHeight="1">
      <c r="A52" s="49" t="s">
        <v>199</v>
      </c>
    </row>
    <row r="53" s="44" customFormat="1" ht="26.25" customHeight="1">
      <c r="A53" s="10" t="s">
        <v>78</v>
      </c>
    </row>
    <row r="54" s="44" customFormat="1" ht="26.25" customHeight="1">
      <c r="A54" s="49"/>
    </row>
    <row r="55" s="44" customFormat="1" ht="26.25" customHeight="1">
      <c r="A55" s="10" t="s">
        <v>189</v>
      </c>
    </row>
    <row r="56" ht="26.25" customHeight="1">
      <c r="A56" s="1" t="s">
        <v>65</v>
      </c>
    </row>
    <row r="57" ht="24" customHeight="1">
      <c r="A57" s="1" t="s">
        <v>64</v>
      </c>
    </row>
    <row r="58" ht="17.25" customHeight="1">
      <c r="A58" s="10"/>
    </row>
    <row r="59" ht="18" customHeight="1"/>
    <row r="61" ht="12.75">
      <c r="A61" s="1" t="s">
        <v>63</v>
      </c>
    </row>
    <row r="62" ht="15.75" customHeight="1"/>
    <row r="63" ht="15.75" customHeight="1">
      <c r="A63" s="1" t="s">
        <v>34</v>
      </c>
    </row>
    <row r="65" ht="12.75">
      <c r="A65" s="1" t="s">
        <v>32</v>
      </c>
    </row>
    <row r="66" ht="12.75">
      <c r="A66" s="1" t="s">
        <v>33</v>
      </c>
    </row>
    <row r="68" ht="25.5">
      <c r="A68" s="1" t="s">
        <v>41</v>
      </c>
    </row>
    <row r="69" ht="26.25" customHeight="1"/>
    <row r="70" ht="12.75">
      <c r="A70" s="1" t="s">
        <v>35</v>
      </c>
    </row>
    <row r="71" ht="12.75">
      <c r="A71" s="1" t="s">
        <v>42</v>
      </c>
    </row>
  </sheetData>
  <printOptions/>
  <pageMargins left="0.75" right="0.75" top="1" bottom="1" header="0.5" footer="0.5"/>
  <pageSetup horizontalDpi="720" verticalDpi="7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Snow Time,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Advantage Card Savings Calculator</dc:title>
  <dc:subject/>
  <dc:creator>Rusty Carr</dc:creator>
  <cp:keywords/>
  <dc:description/>
  <cp:lastModifiedBy>Rusty Carr</cp:lastModifiedBy>
  <cp:lastPrinted>2000-10-18T22:19:32Z</cp:lastPrinted>
  <dcterms:created xsi:type="dcterms:W3CDTF">2000-09-01T04:08:59Z</dcterms:created>
  <dcterms:modified xsi:type="dcterms:W3CDTF">2009-09-14T14:43:14Z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330068387</vt:i4>
  </property>
  <property fmtid="{D5CDD505-2E9C-101B-9397-08002B2CF9AE}" pid="3" name="_EmailSubject">
    <vt:lpwstr>advantage</vt:lpwstr>
  </property>
  <property fmtid="{D5CDD505-2E9C-101B-9397-08002B2CF9AE}" pid="4" name="_AuthorEmail">
    <vt:lpwstr>russ.carr@mci.com</vt:lpwstr>
  </property>
  <property fmtid="{D5CDD505-2E9C-101B-9397-08002B2CF9AE}" pid="5" name="_AuthorEmailDisplayName">
    <vt:lpwstr>Russ Carr</vt:lpwstr>
  </property>
  <property fmtid="{D5CDD505-2E9C-101B-9397-08002B2CF9AE}" pid="6" name="_ReviewingToolsShownOnce">
    <vt:lpwstr/>
  </property>
</Properties>
</file>